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20421cf12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226f8ced96be4c52"/>
    <x:sheet xmlns:r="http://schemas.openxmlformats.org/officeDocument/2006/relationships" name="Premissas" sheetId="2" r:id="Rb84d5ce0e20c4ae5"/>
    <x:sheet xmlns:r="http://schemas.openxmlformats.org/officeDocument/2006/relationships" name="Investimento" sheetId="3" r:id="Rb52a307671d1455e"/>
    <x:sheet xmlns:r="http://schemas.openxmlformats.org/officeDocument/2006/relationships" name="Cardapio" sheetId="4" r:id="R29606968c24746c9"/>
    <x:sheet xmlns:r="http://schemas.openxmlformats.org/officeDocument/2006/relationships" name="Fluxo" sheetId="5" r:id="R79b020e962e142aa"/>
    <x:sheet xmlns:r="http://schemas.openxmlformats.org/officeDocument/2006/relationships" name="Operacao" sheetId="6" r:id="R19d70025d7ea43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&quot;R$ &quot;#,##0;(&quot;R$ &quot;#,##0);&quot;-&quot;"/>
    <x:numFmt numFmtId="201" formatCode="&quot;R$ &quot;#,##0.00;(&quot;R$ &quot;#,##0.00);&quot;-&quot;"/>
    <x:numFmt numFmtId="202" formatCode="0.000"/>
    <x:numFmt numFmtId="203" formatCode="0"/>
    <x:numFmt numFmtId="204" formatCode="0.0%"/>
    <x:numFmt numFmtId="205" formatCode="0.00x"/>
    <x:numFmt numFmtId="206" formatCode="0%"/>
    <x:numFmt numFmtId="207" formatCode="0.0"/>
    <x:numFmt numFmtId="208" formatCode="0.00"/>
  </x:numFmts>
  <x:fonts count="8">
    <x:font>
      <x:sz val="11"/>
      <x:name val="Carlito"/>
    </x:font>
    <x:font>
      <x:sz val="11"/>
      <x:color rgb="FF26342E"/>
      <x:name val="Arial"/>
    </x:font>
    <x:font>
      <x:b/>
      <x:sz val="18"/>
      <x:color rgb="FF26342E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i/>
      <x:sz val="10"/>
      <x:color rgb="FF646A62"/>
      <x:name val="Arial"/>
    </x:font>
    <x:font>
      <x:sz val="11"/>
      <x:color rgb="FF008000"/>
      <x:name val="Arial"/>
    </x:font>
    <x:font>
      <x:sz val="11"/>
      <x:color rgb="FF0080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4483E"/>
      </x:patternFill>
    </x:fill>
    <x:fill>
      <x:patternFill patternType="solid">
        <x:fgColor rgb="FFFFF3D0"/>
      </x:patternFill>
    </x:fill>
    <x:fill>
      <x:patternFill patternType="solid">
        <x:fgColor rgb="FF465237"/>
      </x:patternFill>
    </x:fill>
    <x:fill>
      <x:patternFill patternType="solid">
        <x:fgColor rgb="FFFFF3D0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0" fontId="4" fillId="0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/>
    <x:xf numFmtId="201" fontId="1" fillId="0" borderId="0" xfId="0" applyNumberFormat="1" applyFont="1" applyFill="1" applyBorder="1"/>
    <x:xf numFmtId="201" fontId="3" fillId="2" borderId="0" xfId="0" applyNumberFormat="1" applyFont="1" applyFill="1" applyBorder="1"/>
    <x:xf numFmtId="202" fontId="4" fillId="3" borderId="0" xfId="0" applyNumberFormat="1" applyFont="1" applyFill="1" applyBorder="1"/>
    <x:xf numFmtId="203" fontId="4" fillId="3" borderId="0" xfId="0" applyNumberFormat="1" applyFont="1" applyFill="1" applyBorder="1"/>
    <x:xf numFmtId="203" fontId="1" fillId="0" borderId="0" xfId="0" applyNumberFormat="1" applyFont="1" applyFill="1" applyBorder="1"/>
    <x:xf numFmtId="203" fontId="3" fillId="2" borderId="0" xfId="0" applyNumberFormat="1" applyFont="1" applyFill="1" applyBorder="1"/>
    <x:xf numFmtId="204" fontId="4" fillId="3" borderId="0" xfId="0" applyNumberFormat="1" applyFont="1" applyFill="1" applyBorder="1"/>
    <x:xf numFmtId="205" fontId="4" fillId="3" borderId="0" xfId="0" applyNumberFormat="1" applyFont="1" applyFill="1" applyBorder="1"/>
    <x:xf numFmtId="205" fontId="1" fillId="0" borderId="0" xfId="0" applyNumberFormat="1" applyFont="1" applyFill="1" applyBorder="1"/>
    <x:xf numFmtId="206" fontId="4" fillId="3" borderId="0" xfId="0" applyNumberFormat="1" applyFont="1" applyFill="1" applyBorder="1"/>
    <x:xf numFmtId="207" fontId="3" fillId="2" borderId="0" xfId="0" applyNumberFormat="1" applyFont="1" applyFill="1" applyBorder="1"/>
    <x:xf numFmtId="207" fontId="1" fillId="0" borderId="0" xfId="0" applyNumberFormat="1" applyFont="1" applyFill="1" applyBorder="1"/>
    <x:xf numFmtId="206" fontId="1" fillId="0" borderId="0" xfId="0" applyNumberFormat="1" applyFont="1" applyFill="1" applyBorder="1"/>
    <x:xf numFmtId="204" fontId="1" fillId="0" borderId="0" xfId="0" applyNumberFormat="1" applyFont="1" applyFill="1" applyBorder="1"/>
    <x:xf numFmtId="208" fontId="1" fillId="0" borderId="0" xfId="0" applyNumberFormat="1" applyFont="1" applyFill="1" applyBorder="1"/>
    <x:xf numFmtId="203" fontId="1" fillId="2" borderId="0" xfId="0" applyNumberFormat="1" applyFont="1" applyFill="1" applyBorder="1"/>
    <x:xf numFmtId="20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5" borderId="0" xfId="0" applyNumberFormat="1" applyFont="1" applyFill="1" applyBorder="1"/>
    <x:xf numFmtId="201" fontId="4" fillId="5" borderId="0" xfId="0" applyNumberFormat="1" applyFont="1" applyFill="1" applyBorder="1"/>
    <x:xf numFmtId="201" fontId="3" fillId="4" borderId="0" xfId="0" applyNumberFormat="1" applyFont="1" applyFill="1" applyBorder="1"/>
    <x:xf numFmtId="202" fontId="4" fillId="5" borderId="0" xfId="0" applyNumberFormat="1" applyFont="1" applyFill="1" applyBorder="1"/>
    <x:xf numFmtId="203" fontId="4" fillId="5" borderId="0" xfId="0" applyNumberFormat="1" applyFont="1" applyFill="1" applyBorder="1"/>
    <x:xf numFmtId="200" fontId="4" fillId="5" borderId="0" xfId="0" applyNumberFormat="1" applyFont="1" applyFill="1" applyBorder="1"/>
    <x:xf numFmtId="204" fontId="4" fillId="5" borderId="0" xfId="0" applyNumberFormat="1" applyFont="1" applyFill="1" applyBorder="1"/>
    <x:xf numFmtId="205" fontId="4" fillId="5" borderId="0" xfId="0" applyNumberFormat="1" applyFont="1" applyFill="1" applyBorder="1"/>
    <x:xf numFmtId="206" fontId="4" fillId="5" borderId="0" xfId="0" applyNumberFormat="1" applyFont="1" applyFill="1" applyBorder="1"/>
    <x:xf numFmtId="202" fontId="6" fillId="3" borderId="0" xfId="0" applyNumberFormat="1" applyFont="1" applyFill="1" applyBorder="1"/>
    <x:xf numFmtId="201" fontId="6" fillId="3" borderId="0" xfId="0" applyNumberFormat="1" applyFont="1" applyFill="1" applyBorder="1"/>
    <x:xf numFmtId="202" fontId="6" fillId="6" borderId="0" xfId="0" applyNumberFormat="1" applyFont="1" applyFill="1" applyBorder="1"/>
    <x:xf numFmtId="201" fontId="6" fillId="6" borderId="0" xfId="0" applyNumberFormat="1" applyFont="1" applyFill="1" applyBorder="1"/>
    <x:xf numFmtId="203" fontId="6" fillId="3" borderId="0" xfId="0" applyNumberFormat="1" applyFont="1" applyFill="1" applyBorder="1"/>
    <x:xf numFmtId="203" fontId="6" fillId="6" borderId="0" xfId="0" applyNumberFormat="1" applyFont="1" applyFill="1" applyBorder="1"/>
    <x:xf numFmtId="200" fontId="6" fillId="3" borderId="0" xfId="0" applyNumberFormat="1" applyFont="1" applyFill="1" applyBorder="1"/>
    <x:xf numFmtId="200" fontId="6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15741a2c04078" /><Relationship Type="http://schemas.openxmlformats.org/officeDocument/2006/relationships/theme" Target="/xl/theme/theme1.xml" Id="Rdc678de1a7724f2c" /><Relationship Type="http://schemas.openxmlformats.org/officeDocument/2006/relationships/sharedStrings" Target="/xl/sharedStrings.xml" Id="Ra455bfbfc56940f1" /><Relationship Type="http://schemas.openxmlformats.org/officeDocument/2006/relationships/worksheet" Target="/xl/worksheets/sheet1.xml" Id="R226f8ced96be4c52" /><Relationship Type="http://schemas.openxmlformats.org/officeDocument/2006/relationships/worksheet" Target="/xl/worksheets/sheet2.xml" Id="Rb84d5ce0e20c4ae5" /><Relationship Type="http://schemas.openxmlformats.org/officeDocument/2006/relationships/worksheet" Target="/xl/worksheets/sheet3.xml" Id="Rb52a307671d1455e" /><Relationship Type="http://schemas.openxmlformats.org/officeDocument/2006/relationships/worksheet" Target="/xl/worksheets/sheet4.xml" Id="R29606968c24746c9" /><Relationship Type="http://schemas.openxmlformats.org/officeDocument/2006/relationships/worksheet" Target="/xl/worksheets/sheet5.xml" Id="R79b020e962e142aa" /><Relationship Type="http://schemas.openxmlformats.org/officeDocument/2006/relationships/worksheet" Target="/xl/worksheets/sheet6.xml" Id="R19d70025d7ea43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</x:cols>
  <x:sheetData>
    <x:row r="1" ht="24" customHeight="1">
      <x:c r="A1" s="1"/>
      <x:c r="B1" s="1"/>
      <x:c r="C1" s="1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</x:row>
    <x:row r="2" ht="24" customHeight="1">
      <x:c r="A2" s="1"/>
      <x:c r="B2" s="1"/>
      <x:c r="C2" s="3" t="str">
        <x:v>fresh / Resumo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</x:row>
    <x:row r="3" ht="24" customHeight="1">
      <x:c r="A3" s="1"/>
      <x:c r="B3" s="1"/>
      <x:c r="C3" s="1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</x:row>
    <x:row r="4" ht="24" customHeight="1">
      <x:c r="A4" s="1"/>
      <x:c r="B4" s="1"/>
      <x:c r="C4" s="1" t="str">
        <x:v>Cenário selecionado</x:v>
      </x:c>
      <x:c r="D4" s="30" t="str">
        <x:f>Premissas!D23</x:f>
        <x:v>Base de teste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</x:row>
    <x:row r="5" ht="24" customHeight="1">
      <x:c r="A5" s="1"/>
      <x:c r="B5" s="1"/>
      <x:c r="C5" s="1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</x:row>
    <x:row r="6" ht="24" customHeight="1">
      <x:c r="A6" s="1"/>
      <x:c r="B6" s="1"/>
      <x:c r="C6" s="1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</x:row>
    <x:row r="7" ht="24" customHeight="1">
      <x:c r="A7" s="1"/>
      <x:c r="B7" s="1"/>
      <x:c r="C7" s="1" t="str">
        <x:v>Cenário ativo</x:v>
      </x:c>
      <x:c r="D7" s="2" t="str">
        <x:f>Premissas!D23</x:f>
        <x:v>Base de teste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</x:row>
    <x:row r="8" ht="28" customHeight="1">
      <x:c r="A8" s="1"/>
      <x:c r="B8" s="1"/>
      <x:c r="C8" s="6" t="str">
        <x:v>Investimento total</x:v>
      </x:c>
      <x:c r="D8" s="7" t="n">
        <x:f>Investimento!D26</x:f>
        <x:v>30000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</x:row>
    <x:row r="9" ht="24" customHeight="1">
      <x:c r="A9" s="1"/>
      <x:c r="B9" s="1"/>
      <x:c r="C9" s="1" t="str">
        <x:v>Reserva inicial</x:v>
      </x:c>
      <x:c r="D9" s="2" t="n">
        <x:f>Investimento!D24</x:f>
        <x:v>7000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</x:row>
    <x:row r="10" ht="24" customHeight="1">
      <x:c r="A10" s="1"/>
      <x:c r="B10" s="1"/>
      <x:c r="C10" s="1" t="str">
        <x:v>Ticket médio</x:v>
      </x:c>
      <x:c r="D10" s="14" t="n">
        <x:f>Fluxo!AM10/Fluxo!AM9</x:f>
        <x:v>26.676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</x:row>
    <x:row r="11" ht="24" customHeight="1">
      <x:c r="A11" s="1"/>
      <x:c r="B11" s="1"/>
      <x:c r="C11" s="1" t="str">
        <x:v>Custo direto / pedido</x:v>
      </x:c>
      <x:c r="D11" s="14" t="n">
        <x:f>Fluxo!AM11/Fluxo!AM9</x:f>
        <x:v>9.745535384615387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</x:row>
    <x:row r="12" ht="24" customHeight="1">
      <x:c r="A12" s="1"/>
      <x:c r="B12" s="1"/>
      <x:c r="C12" s="1" t="str">
        <x:v>Margem de contribuição / pedido</x:v>
      </x:c>
      <x:c r="D12" s="14" t="n">
        <x:f>Fluxo!AM15/Fluxo!AM9</x:f>
        <x:v>12.754644615384613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</x:row>
    <x:row r="13" ht="24" customHeight="1">
      <x:c r="A13" s="1"/>
      <x:c r="B13" s="1"/>
      <x:c r="C13" s="1" t="str">
        <x:v>Margem de contribuição %</x:v>
      </x:c>
      <x:c r="D13" s="27" t="n">
        <x:f>D12/D10</x:f>
        <x:v>0.4781318269374949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</x:row>
    <x:row r="14" ht="24" customHeight="1">
      <x:c r="A14" s="1"/>
      <x:c r="B14" s="1"/>
      <x:c r="C14" s="1" t="str">
        <x:v>Fixos / mês incluindo iFood</x:v>
      </x:c>
      <x:c r="D14" s="2" t="n">
        <x:f>Fluxo!AM16</x:f>
        <x:v>9800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</x:row>
    <x:row r="15" ht="24" customHeight="1">
      <x:c r="A15" s="1"/>
      <x:c r="B15" s="1"/>
      <x:c r="C15" s="1" t="str">
        <x:v>Pedidos/dia para equilíbrio operacional</x:v>
      </x:c>
      <x:c r="D15" s="18" t="n">
        <x:f>ROUNDUP(D14/D12/Premissas!D7,0)</x:f>
        <x:v>30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</x:row>
    <x:row r="16" ht="24" customHeight="1">
      <x:c r="A16" s="1"/>
      <x:c r="B16" s="1"/>
      <x:c r="C16" s="1" t="str">
        <x:v>Pedidos/dia incluindo reposição</x:v>
      </x:c>
      <x:c r="D16" s="18" t="n">
        <x:f>ROUNDUP(D14/(D12-D10*Premissas!D11)/Premissas!D7,0)</x:f>
        <x:v>31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</x:row>
    <x:row r="17" ht="24" customHeight="1">
      <x:c r="A17" s="1"/>
      <x:c r="B17" s="1"/>
      <x:c r="C17" s="1" t="str">
        <x:v>Pedidos/dia estabilizados</x:v>
      </x:c>
      <x:c r="D17" s="18" t="n">
        <x:f>Premissas!D24</x:f>
        <x:v>45</x:v>
      </x:c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</x:row>
    <x:row r="18" ht="28" customHeight="1">
      <x:c r="A18" s="1"/>
      <x:c r="B18" s="1"/>
      <x:c r="C18" s="6" t="str">
        <x:v>Receita mensal estabilizada</x:v>
      </x:c>
      <x:c r="D18" s="7" t="n">
        <x:f>Fluxo!AM10</x:f>
        <x:v>31210.92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</x:row>
    <x:row r="19" ht="24" customHeight="1">
      <x:c r="A19" s="1"/>
      <x:c r="B19" s="1"/>
      <x:c r="C19" s="1" t="str">
        <x:v>Resultado operacional / mês</x:v>
      </x:c>
      <x:c r="D19" s="2" t="n">
        <x:f>Fluxo!AM17</x:f>
        <x:v>5122.934199999998</x:v>
      </x:c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</x:row>
    <x:row r="20" ht="28" customHeight="1">
      <x:c r="A20" s="1"/>
      <x:c r="B20" s="1"/>
      <x:c r="C20" s="6" t="str">
        <x:v>Caixa mensal após reposição</x:v>
      </x:c>
      <x:c r="D20" s="7" t="n">
        <x:f>Fluxo!AM19</x:f>
        <x:v>4810.824999999998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</x:row>
    <x:row r="21" ht="24" customHeight="1">
      <x:c r="A21" s="1"/>
      <x:c r="B21" s="1"/>
      <x:c r="C21" s="1" t="str">
        <x:v>Menor caixa nos 36 meses</x:v>
      </x:c>
      <x:c r="D21" s="2" t="n">
        <x:f>MIN(Fluxo!D27:AM27)</x:f>
        <x:v>4861.552729999999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</x:row>
    <x:row r="22" ht="24" customHeight="1">
      <x:c r="A22" s="1"/>
      <x:c r="B22" s="1"/>
      <x:c r="C22" s="1" t="str">
        <x:v>Aporte extra exigido no horizonte</x:v>
      </x:c>
      <x:c r="D22" s="2" t="n">
        <x:f>MAX(0,-D21)</x:f>
        <x:v>0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</x:row>
    <x:row r="23" ht="28" customHeight="1">
      <x:c r="A23" s="1"/>
      <x:c r="B23" s="1"/>
      <x:c r="C23" s="6" t="str">
        <x:v>Payback em meses</x:v>
      </x:c>
      <x:c r="D23" s="19" t="n">
        <x:f>IF(MIN(Fluxo!D30:AM30)=999,"Não recupera em 36 meses",MIN(Fluxo!D30:AM30))</x:f>
        <x:v>11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</x:row>
    <x:row r="24" ht="24" customHeight="1">
      <x:c r="A24" s="1"/>
      <x:c r="B24" s="1"/>
      <x:c r="C24" s="1" t="str">
        <x:v>Caixa livre no ano 1</x:v>
      </x:c>
      <x:c r="D24" s="2" t="n">
        <x:f>SUM(Fluxo!D25:O25)</x:f>
        <x:v>39265.113213846125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</x:row>
    <x:row r="25" ht="24" customHeight="1">
      <x:c r="A25" s="1"/>
      <x:c r="B25" s="1"/>
      <x:c r="C25" s="1" t="str">
        <x:v>Caixa/mês com mais um funcionário</x:v>
      </x:c>
      <x:c r="D25" s="2" t="n">
        <x:f>D20-Premissas!D15</x:f>
        <x:v>1310.824999999998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</x:row>
    <x:row r="26" ht="24" customHeight="1">
      <x:c r="A26" s="1"/>
      <x:c r="B26" s="1"/>
      <x:c r="C26" s="1" t="str">
        <x:v>Equilíbrio com mais um funcionário</x:v>
      </x:c>
      <x:c r="D26" s="18" t="n">
        <x:f>ROUNDUP((D14+Premissas!D15)/(D12-D10*Premissas!D11)/Premissas!D7,0)</x:f>
        <x:v>41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</x:row>
    <x:row r="27" ht="24" customHeight="1">
      <x:c r="A27" s="1"/>
      <x:c r="B27" s="1"/>
      <x:c r="C27" s="1" t="str">
        <x:v>Reserva / meses de despesas fixas</x:v>
      </x:c>
      <x:c r="D27" s="28" t="n">
        <x:f>D9/D14</x:f>
        <x:v>0.7142857142857143</x:v>
      </x:c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</x:row>
    <x:row r="28" ht="24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</x:row>
    <x:row r="29" ht="24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</x:row>
    <x:row r="30" ht="24" customHeight="1">
      <x:c r="A30" s="1"/>
      <x:c r="B30" s="1"/>
      <x:c r="C30" s="10" t="str">
        <x:v>VIABILIDADE CONDICIONAL: ponto público exato, permissão, sanitário e infraestrutura ainda não verificados.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</x:row>
    <x:row r="31" ht="24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</x:row>
    <x:row r="32" ht="24" customHeight="1">
      <x:c r="A32" s="1"/>
      <x:c r="B32" s="1"/>
      <x:c r="C32" s="10" t="str">
        <x:v>O art. 171 VIII do Código de Posturas restringe novos equipamentos fixos em vias/calçadas. Consultar o município.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</x:row>
    <x:row r="33" ht="24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</x:row>
    <x:row r="34" ht="24" customHeight="1">
      <x:c r="A34" s="1"/>
      <x:c r="B34" s="1"/>
      <x:c r="C34" s="10" t="str">
        <x:v>Células azuis com fundo amarelo são premissas editáveis. Selecionar o cenário na aba Premissas, D4.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</x:row>
    <x:row r="35" ht="24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</x:row>
    <x:row r="36" ht="24" customHeight="1">
      <x:c r="A36" s="1"/>
      <x:c r="B36" s="1"/>
      <x:c r="C36" s="10" t="str">
        <x:v>30, 45 e 60 pedidos/dia são metas de teste. Abrir mais horas não assegura maior demanda.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</x:row>
    <x:row r="37" ht="24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</x:row>
    <x:row r="38" ht="24" customHeight="1">
      <x:c r="A38" s="1"/>
      <x:c r="B38" s="1"/>
      <x:c r="C38" s="10" t="str">
        <x:v>Fonte legal: https://www.goiania.go.gov.br/html/gabinete_civil/sileg/dados/legis/2023/lc_20231215_000000368.html</x:v>
      </x:c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</x:row>
    <x:row r="39" ht="24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</x:row>
    <x:row r="40" ht="24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</x:row>
    <x:row r="41" ht="24" customHeight="1">
      <x:c r="A41" s="1"/>
      <x:c r="B41" s="1"/>
      <x:c r="C41" s="1" t="str">
        <x:v>Itens vendidos / dia</x:v>
      </x:c>
      <x:c r="D41" s="28" t="n">
        <x:f>D17*Cardapio!J16/100</x:f>
        <x:v>63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</x:row>
    <x:row r="42" ht="24" customHeight="1">
      <x:c r="A42" s="1"/>
      <x:c r="B42" s="1"/>
      <x:c r="C42" s="1" t="str">
        <x:v>Itens por pedido</x:v>
      </x:c>
      <x:c r="D42" s="28" t="n">
        <x:f>Cardapio!J16/100</x:f>
        <x:v>1.4</x:v>
      </x:c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</x:row>
    <x:row r="43" ht="24" customHeight="1">
      <x:c r="A43" s="1"/>
      <x:c r="B43" s="1"/>
      <x:c r="C43" s="1" t="str">
        <x:v>Horas abertas / dia</x:v>
      </x:c>
      <x:c r="D43" s="28" t="n">
        <x:f>Operacao!D52</x:f>
        <x:v>14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</x:row>
    <x:row r="44" ht="24" customHeight="1">
      <x:c r="A44" s="1"/>
      <x:c r="B44" s="1"/>
      <x:c r="C44" s="1" t="str">
        <x:v>Média de pedidos / hora</x:v>
      </x:c>
      <x:c r="D44" s="28" t="n">
        <x:f>D17/D43</x:f>
        <x:v>3.2142857142857144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</x:row>
    <x:row r="45" ht="24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</x:row>
    <x:row r="46" ht="24" customHeight="1">
      <x:c r="A46" s="1"/>
      <x:c r="B46" s="1"/>
      <x:c r="C46" s="1" t="str">
        <x:v>Pedidos iFood / dia</x:v>
      </x:c>
      <x:c r="D46" s="25" t="n">
        <x:f>D17*Operacao!D86</x:f>
        <x:v>9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</x:row>
    <x:row r="47" ht="24" customHeight="1">
      <x:c r="A47" s="1"/>
      <x:c r="B47" s="1"/>
      <x:c r="C47" s="1" t="str">
        <x:v>Pedidos balcão / dia</x:v>
      </x:c>
      <x:c r="D47" s="25" t="n">
        <x:f>D17-D46</x:f>
        <x:v>36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</x:row>
    <x:row r="48" ht="24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</x:row>
    <x:row r="49" ht="24" customHeight="1">
      <x:c r="A49" s="1"/>
      <x:c r="B49" s="1"/>
      <x:c r="C49" s="1" t="str">
        <x:v>Início do iFood / mês</x:v>
      </x:c>
      <x:c r="D49" s="18" t="n">
        <x:f>Operacao!D96</x:f>
        <x:v>4</x:v>
      </x:c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</x:row>
    <x:row r="50" ht="24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</x:row>
    <x:row r="51" ht="24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</x:row>
    <x:row r="52" ht="24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</x:row>
    <x:row r="53" ht="24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</x:row>
    <x:row r="54" ht="24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</x:row>
    <x:row r="55" ht="24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</x:row>
    <x:row r="56" ht="24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</x:row>
    <x:row r="57" ht="24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</x:row>
    <x:row r="58" ht="24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</x:row>
    <x:row r="59" ht="24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</x:row>
    <x:row r="60" ht="24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</x:row>
    <x:row r="61" ht="24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</x:row>
    <x:row r="62" ht="24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</x:row>
    <x:row r="63" ht="24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</x:row>
    <x:row r="64" ht="24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</x:row>
    <x:row r="65" ht="24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</x:row>
    <x:row r="66" ht="24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</x:row>
    <x:row r="67" ht="24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</x:row>
    <x:row r="68" ht="24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</x:row>
    <x:row r="69" ht="24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</x:row>
    <x:row r="70" ht="24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</x:row>
    <x:row r="71" ht="24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</x:row>
    <x:row r="72" ht="24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</x:row>
    <x:row r="73" ht="24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</x:row>
    <x:row r="74" ht="24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</x:row>
    <x:row r="75" ht="24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</x:row>
    <x:row r="76" ht="24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</x:row>
    <x:row r="77" ht="24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</x:row>
    <x:row r="78" ht="24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</x:row>
    <x:row r="79" ht="24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</x:row>
    <x:row r="80" ht="24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</x:row>
    <x:row r="81" ht="24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</x:row>
    <x:row r="82" ht="24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</x:row>
    <x:row r="83" ht="24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</x:row>
    <x:row r="84" ht="24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</x:row>
    <x:row r="85" ht="24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8" hidden="0" customWidth="1"/>
    <x:col min="4" max="4" width="16" hidden="0" customWidth="1"/>
    <x:col min="5" max="5" width="6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</x:cols>
  <x:sheetData>
    <x:row r="1" ht="24" customHeight="1">
      <x:c r="A1" s="1"/>
      <x:c r="B1" s="1"/>
      <x:c r="C1" s="1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</x:row>
    <x:row r="2" ht="24" customHeight="1">
      <x:c r="A2" s="1"/>
      <x:c r="B2" s="1"/>
      <x:c r="C2" s="3" t="str">
        <x:v>fresh / Premissas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</x:row>
    <x:row r="3" ht="24" customHeight="1">
      <x:c r="A3" s="1"/>
      <x:c r="B3" s="1"/>
      <x:c r="C3" s="1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</x:row>
    <x:row r="4" ht="24" customHeight="1">
      <x:c r="A4" s="1"/>
      <x:c r="B4" s="1"/>
      <x:c r="C4" s="1" t="str">
        <x:v>Selecionar cenário 1 / 2 / 3</x:v>
      </x:c>
      <x:c r="D4" s="17" t="n">
        <x:v>2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</x:row>
    <x:row r="5" ht="24" customHeight="1">
      <x:c r="A5" s="1"/>
      <x:c r="B5" s="1"/>
      <x:c r="C5" s="1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</x:row>
    <x:row r="6" ht="28" customHeight="1">
      <x:c r="A6" s="1"/>
      <x:c r="B6" s="1"/>
      <x:c r="C6" s="6" t="str">
        <x:v>Premissa</x:v>
      </x:c>
      <x:c r="D6" s="7" t="str">
        <x:v>Valor</x:v>
      </x:c>
      <x:c r="E6" s="7" t="str">
        <x:v>Comentário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</x:row>
    <x:row r="7" ht="24" customHeight="1">
      <x:c r="A7" s="1"/>
      <x:c r="B7" s="1"/>
      <x:c r="C7" s="1" t="str">
        <x:v>Dias de operação / mês</x:v>
      </x:c>
      <x:c r="D7" s="17" t="n">
        <x:v>26</x:v>
      </x:c>
      <x:c r="E7" s="2" t="str">
        <x:v>Hipótese: seis dias por semana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</x:row>
    <x:row r="8" ht="24" customHeight="1">
      <x:c r="A8" s="1"/>
      <x:c r="B8" s="1"/>
      <x:c r="C8" s="1" t="str">
        <x:v>Tributos sobre vendas</x:v>
      </x:c>
      <x:c r="D8" s="20" t="n">
        <x:v>0.06</x:v>
      </x:c>
      <x:c r="E8" s="2" t="str">
        <x:v>Provisão gerencial; contador deve definir regime e incidências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</x:row>
    <x:row r="9" ht="24" customHeight="1">
      <x:c r="A9" s="1"/>
      <x:c r="B9" s="1"/>
      <x:c r="C9" s="1" t="str">
        <x:v>Taxas de recebimento</x:v>
      </x:c>
      <x:c r="D9" s="20" t="n">
        <x:v>0.02</x:v>
      </x:c>
      <x:c r="E9" s="2" t="str">
        <x:v>Média estimada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</x:row>
    <x:row r="10" ht="24" customHeight="1">
      <x:c r="A10" s="1"/>
      <x:c r="B10" s="1"/>
      <x:c r="C10" s="1" t="str">
        <x:v>Perdas extras sobre vendas</x:v>
      </x:c>
      <x:c r="D10" s="20" t="n">
        <x:v>0.02</x:v>
      </x:c>
      <x:c r="E10" s="2" t="str">
        <x:v>Além do custo padrão das receitas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</x:row>
    <x:row r="11" ht="24" customHeight="1">
      <x:c r="A11" s="1"/>
      <x:c r="B11" s="1"/>
      <x:c r="C11" s="1" t="str">
        <x:v>Reserva mensal para reposições</x:v>
      </x:c>
      <x:c r="D11" s="20" t="n">
        <x:v>0.01</x:v>
      </x:c>
      <x:c r="E11" s="2" t="str">
        <x:v>Caixa separado para manutenção/substituição futura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</x:row>
    <x:row r="12" ht="24" customHeight="1">
      <x:c r="A12" s="1"/>
      <x:c r="B12" s="1"/>
      <x:c r="C12" s="1" t="str">
        <x:v>Recebimento médio • dias</x:v>
      </x:c>
      <x:c r="D12" s="17" t="n">
        <x:v>2</x:v>
      </x:c>
      <x:c r="E12" s="2" t="str">
        <x:v>Não usar antecipação sem refazer taxas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</x:row>
    <x:row r="13" ht="24" customHeight="1">
      <x:c r="A13" s="1"/>
      <x:c r="B13" s="1"/>
      <x:c r="C13" s="1" t="str">
        <x:v>Estoque operacional • dias</x:v>
      </x:c>
      <x:c r="D13" s="17" t="n">
        <x:v>7</x:v>
      </x:c>
      <x:c r="E13" s="2" t="str">
        <x:v>Reposição curta; manter ao menos o estoque inicial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</x:row>
    <x:row r="14" ht="24" customHeight="1">
      <x:c r="A14" s="1"/>
      <x:c r="B14" s="1"/>
      <x:c r="C14" s="1" t="str">
        <x:v>Dias financeiros / mês</x:v>
      </x:c>
      <x:c r="D14" s="17" t="n">
        <x:v>30</x:v>
      </x:c>
      <x:c r="E14" s="2" t="str">
        <x:v>Conversão dos prazos de recebimento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</x:row>
    <x:row r="15" ht="24" customHeight="1">
      <x:c r="A15" s="1"/>
      <x:c r="B15" s="1"/>
      <x:c r="C15" s="1" t="str">
        <x:v>Custo de contratação adicional</x:v>
      </x:c>
      <x:c r="D15" s="9" t="n">
        <x:v>3500</x:v>
      </x:c>
      <x:c r="E15" s="2" t="str">
        <x:v>Custo total hipotético com provisões; cotar folha real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</x:row>
    <x:row r="16" ht="24" customHeight="1">
      <x:c r="A16" s="1"/>
      <x:c r="B16" s="1"/>
      <x:c r="C16" s="1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</x:row>
    <x:row r="17" ht="24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</x:row>
    <x:row r="18" ht="28" customHeight="1">
      <x:c r="A18" s="1"/>
      <x:c r="B18" s="1"/>
      <x:c r="C18" s="6" t="str">
        <x:v>Cenários</x:v>
      </x:c>
      <x:c r="D18" s="7" t="str">
        <x:v>Conservador</x:v>
      </x:c>
      <x:c r="E18" s="7" t="str">
        <x:v>Base de teste</x:v>
      </x:c>
      <x:c r="F18" s="7" t="str">
        <x:v>Maior demanda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</x:row>
    <x:row r="19" ht="24" customHeight="1">
      <x:c r="A19" s="1"/>
      <x:c r="B19" s="1"/>
      <x:c r="C19" s="1" t="str">
        <x:v>Pedidos / dia</x:v>
      </x:c>
      <x:c r="D19" s="50" t="n">
        <x:f>Operacao!E12</x:f>
        <x:v>30</x:v>
      </x:c>
      <x:c r="E19" s="50" t="n">
        <x:f>Operacao!F12</x:f>
        <x:v>45</x:v>
      </x:c>
      <x:c r="F19" s="50" t="n">
        <x:f>Operacao!G12</x:f>
        <x:v>60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</x:row>
    <x:row r="20" ht="24" customHeight="1">
      <x:c r="A20" s="1"/>
      <x:c r="B20" s="1"/>
      <x:c r="C20" s="1" t="str">
        <x:v>Fator preço / cesta</x:v>
      </x:c>
      <x:c r="D20" s="21" t="n">
        <x:v>1</x:v>
      </x:c>
      <x:c r="E20" s="21" t="n">
        <x:v>1</x:v>
      </x:c>
      <x:c r="F20" s="21" t="n">
        <x:v>1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</x:row>
    <x:row r="21" ht="24" customHeight="1">
      <x:c r="A21" s="1"/>
      <x:c r="B21" s="1"/>
      <x:c r="C21" s="1" t="str">
        <x:v>Fator custo direto</x:v>
      </x:c>
      <x:c r="D21" s="21" t="n">
        <x:v>1</x:v>
      </x:c>
      <x:c r="E21" s="21" t="n">
        <x:v>1</x:v>
      </x:c>
      <x:c r="F21" s="21" t="n">
        <x:v>1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</x:row>
    <x:row r="22" ht="24" customHeight="1">
      <x:c r="A22" s="1"/>
      <x:c r="B22" s="1"/>
      <x:c r="C22" s="1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</x:row>
    <x:row r="23" ht="24" customHeight="1">
      <x:c r="A23" s="1"/>
      <x:c r="B23" s="1"/>
      <x:c r="C23" s="1" t="str">
        <x:v>Cenário ativo</x:v>
      </x:c>
      <x:c r="D23" s="2" t="str">
        <x:f>CHOOSE(D4,D18,E18,F18)</x:f>
        <x:v>Base de teste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</x:row>
    <x:row r="24" ht="24" customHeight="1">
      <x:c r="A24" s="1"/>
      <x:c r="B24" s="1"/>
      <x:c r="C24" s="1" t="str">
        <x:v>Pedidos ativos / dia</x:v>
      </x:c>
      <x:c r="D24" s="18" t="n">
        <x:f>CHOOSE($D$4,D19,E19,F19)</x:f>
        <x:v>45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</x:row>
    <x:row r="25" ht="24" customHeight="1">
      <x:c r="A25" s="1"/>
      <x:c r="B25" s="1"/>
      <x:c r="C25" s="1" t="str">
        <x:v>Fator de preço ativo</x:v>
      </x:c>
      <x:c r="D25" s="22" t="n">
        <x:f>CHOOSE($D$4,D20,E20,F20)</x:f>
        <x:v>1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</x:row>
    <x:row r="26" ht="24" customHeight="1">
      <x:c r="A26" s="1"/>
      <x:c r="B26" s="1"/>
      <x:c r="C26" s="1" t="str">
        <x:v>Fator de custo ativo</x:v>
      </x:c>
      <x:c r="D26" s="22" t="n">
        <x:f>CHOOSE($D$4,D21,E21,F21)</x:f>
        <x:v>1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</x:row>
    <x:row r="27" ht="24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</x:row>
    <x:row r="28" ht="24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</x:row>
    <x:row r="29" ht="28" customHeight="1">
      <x:c r="A29" s="1"/>
      <x:c r="B29" s="1"/>
      <x:c r="C29" s="6" t="str">
        <x:v>Despesas mensais</x:v>
      </x:c>
      <x:c r="D29" s="7" t="str">
        <x:v>Valor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</x:row>
    <x:row r="30" ht="24" customHeight="1">
      <x:c r="A30" s="1"/>
      <x:c r="B30" s="1"/>
      <x:c r="C30" s="1" t="str">
        <x:v>Pró-labore do sócio operador</x:v>
      </x:c>
      <x:c r="D30" s="9" t="n">
        <x:v>2300</x:v>
      </x:c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</x:row>
    <x:row r="31" ht="24" customHeight="1">
      <x:c r="A31" s="1"/>
      <x:c r="B31" s="1"/>
      <x:c r="C31" s="1" t="str">
        <x:v>Encargos do pró-labore • provisão</x:v>
      </x:c>
      <x:c r="D31" s="9" t="n">
        <x:v>250</x:v>
      </x:c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</x:row>
    <x:row r="32" ht="24" customHeight="1">
      <x:c r="A32" s="1"/>
      <x:c r="B32" s="1"/>
      <x:c r="C32" s="1" t="str">
        <x:v>Funcionário / custo total estimado</x:v>
      </x:c>
      <x:c r="D32" s="9" t="n">
        <x:v>3500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</x:row>
    <x:row r="33" ht="24" customHeight="1">
      <x:c r="A33" s="1"/>
      <x:c r="B33" s="1"/>
      <x:c r="C33" s="1" t="str">
        <x:v>Ocupação do ponto • provisão</x:v>
      </x:c>
      <x:c r="D33" s="9" t="n">
        <x:v>500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</x:row>
    <x:row r="34" ht="24" customHeight="1">
      <x:c r="A34" s="1"/>
      <x:c r="B34" s="1"/>
      <x:c r="C34" s="1" t="str">
        <x:v>Energia</x:v>
      </x:c>
      <x:c r="D34" s="9" t="n">
        <x:v>700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</x:row>
    <x:row r="35" ht="24" customHeight="1">
      <x:c r="A35" s="1"/>
      <x:c r="B35" s="1"/>
      <x:c r="C35" s="1" t="str">
        <x:v>Água</x:v>
      </x:c>
      <x:c r="D35" s="9" t="n">
        <x:v>150</x:v>
      </x:c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</x:row>
    <x:row r="36" ht="24" customHeight="1">
      <x:c r="A36" s="1"/>
      <x:c r="B36" s="1"/>
      <x:c r="C36" s="1" t="str">
        <x:v>Contabilidade</x:v>
      </x:c>
      <x:c r="D36" s="9" t="n">
        <x:v>250</x:v>
      </x:c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</x:row>
    <x:row r="37" ht="24" customHeight="1">
      <x:c r="A37" s="1"/>
      <x:c r="B37" s="1"/>
      <x:c r="C37" s="1" t="str">
        <x:v>Sistema e conectividade</x:v>
      </x:c>
      <x:c r="D37" s="9" t="n">
        <x:v>100</x:v>
      </x:c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</x:row>
    <x:row r="38" ht="24" customHeight="1">
      <x:c r="A38" s="1"/>
      <x:c r="B38" s="1"/>
      <x:c r="C38" s="1" t="str">
        <x:v>Marketing</x:v>
      </x:c>
      <x:c r="D38" s="9" t="n">
        <x:v>200</x:v>
      </x:c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</x:row>
    <x:row r="39" ht="24" customHeight="1">
      <x:c r="A39" s="1"/>
      <x:c r="B39" s="1"/>
      <x:c r="C39" s="1" t="str">
        <x:v>Limpeza e manutenção</x:v>
      </x:c>
      <x:c r="D39" s="9" t="n">
        <x:v>350</x:v>
      </x:c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</x:row>
    <x:row r="40" ht="24" customHeight="1">
      <x:c r="A40" s="1"/>
      <x:c r="B40" s="1"/>
      <x:c r="C40" s="1" t="str">
        <x:v>Apoio + outras despesas</x:v>
      </x:c>
      <x:c r="D40" s="52" t="n">
        <x:f>Operacao!D59+Operacao!D60</x:f>
        <x:v>1350</x:v>
      </x:c>
      <x:c r="E40" s="2" t="str">
        <x:v>Apoio R$ 1.200 + outras R$ 150. Custos a cotar.</x:v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</x:row>
    <x:row r="41" ht="28" customHeight="1">
      <x:c r="A41" s="1"/>
      <x:c r="B41" s="1"/>
      <x:c r="C41" s="6" t="str">
        <x:v>Total mensal</x:v>
      </x:c>
      <x:c r="D41" s="7" t="n">
        <x:f>SUM(D30:D40)</x:f>
        <x:v>9650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</x:row>
    <x:row r="42" ht="24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</x:row>
    <x:row r="43" ht="24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</x:row>
    <x:row r="44" ht="24" customHeight="1">
      <x:c r="A44" s="1"/>
      <x:c r="B44" s="1"/>
      <x:c r="C44" s="1" t="str">
        <x:v>Rampa de vendas</x:v>
      </x:c>
      <x:c r="D44" s="2" t="str">
        <x:v>Mês 1</x:v>
      </x:c>
      <x:c r="E44" s="2" t="str">
        <x:v>Mês 2</x:v>
      </x:c>
      <x:c r="F44" s="2" t="str">
        <x:v>Mês 3</x:v>
      </x:c>
      <x:c r="G44" s="2" t="str">
        <x:v>Mês 4+</x:v>
      </x:c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</x:row>
    <x:row r="45" ht="24" customHeight="1">
      <x:c r="A45" s="1"/>
      <x:c r="B45" s="1"/>
      <x:c r="C45" s="1" t="str">
        <x:v>Fator do volume estabilizado</x:v>
      </x:c>
      <x:c r="D45" s="23" t="n">
        <x:v>0.55</x:v>
      </x:c>
      <x:c r="E45" s="23" t="n">
        <x:v>0.7</x:v>
      </x:c>
      <x:c r="F45" s="23" t="n">
        <x:v>0.85</x:v>
      </x:c>
      <x:c r="G45" s="23" t="n">
        <x:v>1</x:v>
      </x:c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</x:row>
    <x:row r="46" ht="24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</x:row>
    <x:row r="47" ht="24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</x:row>
    <x:row r="48" ht="24" customHeight="1">
      <x:c r="A48" s="1"/>
      <x:c r="B48" s="1"/>
      <x:c r="C48" s="10" t="str">
        <x:v>Sócio + 1 funcionário + apoio: cobertura planejada na aba Operacao. Custo fixo desde o mês 1.</x:v>
      </x:c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</x:row>
    <x:row r="49" ht="24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</x:row>
    <x:row r="50" ht="24" customHeight="1">
      <x:c r="A50" s="1"/>
      <x:c r="B50" s="1"/>
      <x:c r="C50" s="10" t="str">
        <x:v>R$ 500 de ocupação é provisão, não preço de concessão nem permissão de uso gratuito da rua.</x:v>
      </x:c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</x:row>
    <x:row r="51" ht="24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</x:row>
    <x:row r="52" ht="24" customHeight="1">
      <x:c r="A52" s="1"/>
      <x:c r="B52" s="1"/>
      <x:c r="C52" s="10" t="str">
        <x:v>Modelo nominal de 36 meses sem inflação ou crescimento automático; revise trimestralmente. Sem dívida.</x:v>
      </x:c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</x:row>
    <x:row r="53" ht="24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</x:row>
    <x:row r="54" ht="24" customHeight="1">
      <x:c r="A54" s="1"/>
      <x:c r="B54" s="1"/>
      <x:c r="C54" s="1" t="str">
        <x:v>Cenários isolam o volume: mesmos preços, custos, mix, horário e equipe. Não são previsões de fluxo.</x:v>
      </x:c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</x:row>
    <x:row r="55" ht="24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</x:row>
    <x:row r="56" ht="24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</x:row>
    <x:row r="57" ht="24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</x:row>
    <x:row r="58" ht="24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</x:row>
    <x:row r="59" ht="24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</x:row>
    <x:row r="60" ht="24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</x:row>
    <x:row r="61" ht="24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</x:row>
    <x:row r="62" ht="24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</x:row>
    <x:row r="63" ht="24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</x:row>
    <x:row r="64" ht="24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</x:row>
    <x:row r="65" ht="24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</x:row>
    <x:row r="66" ht="24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</x:row>
    <x:row r="67" ht="24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</x:row>
    <x:row r="68" ht="24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</x:row>
    <x:row r="69" ht="24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</x:row>
    <x:row r="70" ht="24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</x:row>
    <x:row r="71" ht="24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</x:row>
    <x:row r="72" ht="24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</x:row>
    <x:row r="73" ht="24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</x:row>
    <x:row r="74" ht="24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</x:row>
    <x:row r="75" ht="24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</x:row>
    <x:row r="76" ht="24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</x:row>
    <x:row r="77" ht="24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</x:row>
    <x:row r="78" ht="24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</x:row>
    <x:row r="79" ht="24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</x:row>
    <x:row r="80" ht="24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</x:row>
    <x:row r="81" ht="24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</x:row>
    <x:row r="82" ht="24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</x:row>
    <x:row r="83" ht="24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</x:row>
    <x:row r="84" ht="24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</x:row>
    <x:row r="85" ht="24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</x:row>
  </x:sheetData>
  <x:dataValidations count="1">
    <x:dataValidation type="list" sqref="D4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8" hidden="0" customWidth="1"/>
    <x:col min="4" max="4" width="16" hidden="0" customWidth="1"/>
    <x:col min="5" max="5" width="80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</x:cols>
  <x:sheetData>
    <x:row r="1" ht="24" customHeight="1">
      <x:c r="A1" s="1"/>
      <x:c r="B1" s="1"/>
      <x:c r="C1" s="1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</x:row>
    <x:row r="2" ht="24" customHeight="1">
      <x:c r="A2" s="1"/>
      <x:c r="B2" s="1"/>
      <x:c r="C2" s="3" t="str">
        <x:v>fresh / Investimento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</x:row>
    <x:row r="3" ht="24" customHeight="1">
      <x:c r="A3" s="1"/>
      <x:c r="B3" s="1"/>
      <x:c r="C3" s="1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</x:row>
    <x:row r="4" ht="24" customHeight="1">
      <x:c r="A4" s="1"/>
      <x:c r="B4" s="1"/>
      <x:c r="C4" s="1" t="str">
        <x:v>Cenário selecionado</x:v>
      </x:c>
      <x:c r="D4" s="30" t="str">
        <x:f>Premissas!D23</x:f>
        <x:v>Base de teste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</x:row>
    <x:row r="5" ht="24" customHeight="1">
      <x:c r="A5" s="1"/>
      <x:c r="B5" s="1"/>
      <x:c r="C5" s="1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</x:row>
    <x:row r="6" ht="28" customHeight="1">
      <x:c r="A6" s="1"/>
      <x:c r="B6" s="1"/>
      <x:c r="C6" s="6" t="str">
        <x:v>Item</x:v>
      </x:c>
      <x:c r="D6" s="7" t="str">
        <x:v>Valor revisado</x:v>
      </x:c>
      <x:c r="E6" s="7" t="str">
        <x:v>Base / condição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</x:row>
    <x:row r="7" ht="24" customHeight="1">
      <x:c r="A7" s="1"/>
      <x:c r="B7" s="1"/>
      <x:c r="C7" s="1" t="str">
        <x:v>Container</x:v>
      </x:c>
      <x:c r="D7" s="9" t="n">
        <x:v>5000</x:v>
      </x:c>
      <x:c r="E7" s="2" t="str">
        <x:v>Valor informado; confirmar o que acompanha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</x:row>
    <x:row r="8" ht="24" customHeight="1">
      <x:c r="A8" s="1"/>
      <x:c r="B8" s="1"/>
      <x:c r="C8" s="1" t="str">
        <x:v>Transporte e posicionamento</x:v>
      </x:c>
      <x:c r="D8" s="9" t="n">
        <x:v>1500</x:v>
      </x:c>
      <x:c r="E8" s="2" t="str">
        <x:v>Teto estimado; acesso e içamento a cotar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</x:row>
    <x:row r="9" ht="24" customHeight="1">
      <x:c r="A9" s="1"/>
      <x:c r="B9" s="1"/>
      <x:c r="C9" s="1" t="str">
        <x:v>Pintura simples e reparos leves</x:v>
      </x:c>
      <x:c r="D9" s="9" t="n">
        <x:v>1200</x:v>
      </x:c>
      <x:c r="E9" s="2" t="str">
        <x:v>Sem reforma estrutural ou isolamento novo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</x:row>
    <x:row r="10" ht="24" customHeight="1">
      <x:c r="A10" s="1"/>
      <x:c r="B10" s="1"/>
      <x:c r="C10" s="1" t="str">
        <x:v>Elétrica e ligações internas</x:v>
      </x:c>
      <x:c r="D10" s="9" t="n">
        <x:v>1300</x:v>
      </x:c>
      <x:c r="E10" s="2" t="str">
        <x:v>Pressupõe rede próxima e capacidade suficiente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</x:row>
    <x:row r="11" ht="24" customHeight="1">
      <x:c r="A11" s="1"/>
      <x:c r="B11" s="1"/>
      <x:c r="C11" s="1" t="str">
        <x:v>Hidráulica e conexões</x:v>
      </x:c>
      <x:c r="D11" s="9" t="n">
        <x:v>1300</x:v>
      </x:c>
      <x:c r="E11" s="2" t="str">
        <x:v>Pressupõe rede regular próxima; sem construir banheiro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</x:row>
    <x:row r="12" ht="24" customHeight="1">
      <x:c r="A12" s="1"/>
      <x:c r="B12" s="1"/>
      <x:c r="C12" s="1" t="str">
        <x:v>Freezer usado revisado</x:v>
      </x:c>
      <x:c r="D12" s="9" t="n">
        <x:v>1800</x:v>
      </x:c>
      <x:c r="E12" s="2" t="str">
        <x:v>Sem comodato confirmado; capacidade a validar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</x:row>
    <x:row r="13" ht="24" customHeight="1">
      <x:c r="A13" s="1"/>
      <x:c r="B13" s="1"/>
      <x:c r="C13" s="1" t="str">
        <x:v>Geladeira usada revisada</x:v>
      </x:c>
      <x:c r="D13" s="9" t="n">
        <x:v>1000</x:v>
      </x:c>
      <x:c r="E13" s="2" t="str">
        <x:v>Temperatura e consumo a testar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</x:row>
    <x:row r="14" ht="24" customHeight="1">
      <x:c r="A14" s="1"/>
      <x:c r="B14" s="1"/>
      <x:c r="C14" s="1" t="str">
        <x:v>Liquidificador comercial</x:v>
      </x:c>
      <x:c r="D14" s="9" t="n">
        <x:v>1300</x:v>
      </x:c>
      <x:c r="E14" s="2" t="str">
        <x:v>Testar bebida espessa; preço ainda sem cotação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</x:row>
    <x:row r="15" ht="24" customHeight="1">
      <x:c r="A15" s="1"/>
      <x:c r="B15" s="1"/>
      <x:c r="C15" s="1" t="str">
        <x:v>Bancada, pia e armazenamento</x:v>
      </x:c>
      <x:c r="D15" s="9" t="n">
        <x:v>1000</x:v>
      </x:c>
      <x:c r="E15" s="2" t="str">
        <x:v>Reaproveitamento e itens simples; a cotar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</x:row>
    <x:row r="16" ht="24" customHeight="1">
      <x:c r="A16" s="1"/>
      <x:c r="B16" s="1"/>
      <x:c r="C16" s="1" t="str">
        <x:v>Filtro de água</x:v>
      </x:c>
      <x:c r="D16" s="9" t="n">
        <x:v>350</x:v>
      </x:c>
      <x:c r="E16" s="2" t="str">
        <x:v>Dimensionamento a validar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</x:row>
    <x:row r="17" ht="24" customHeight="1">
      <x:c r="A17" s="1"/>
      <x:c r="B17" s="1"/>
      <x:c r="C17" s="1" t="str">
        <x:v>Utensílios, balança e termômetros</x:v>
      </x:c>
      <x:c r="D17" s="9" t="n">
        <x:v>450</x:v>
      </x:c>
      <x:c r="E17" s="2" t="str">
        <x:v>Estimativa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</x:row>
    <x:row r="18" ht="24" customHeight="1">
      <x:c r="A18" s="1"/>
      <x:c r="B18" s="1"/>
      <x:c r="C18" s="1" t="str">
        <x:v>Comunicação visual simples</x:v>
      </x:c>
      <x:c r="D18" s="9" t="n">
        <x:v>500</x:v>
      </x:c>
      <x:c r="E18" s="2" t="str">
        <x:v>Faixa/placa; sem fachada especial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</x:row>
    <x:row r="19" ht="24" customHeight="1">
      <x:c r="A19" s="1"/>
      <x:c r="B19" s="1"/>
      <x:c r="C19" s="1" t="str">
        <x:v>PDV inicial</x:v>
      </x:c>
      <x:c r="D19" s="9" t="n">
        <x:v>200</x:v>
      </x:c>
      <x:c r="E19" s="2" t="str">
        <x:v>Uso de celular existente do sócio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</x:row>
    <x:row r="20" ht="24" customHeight="1">
      <x:c r="A20" s="1"/>
      <x:c r="B20" s="1"/>
      <x:c r="C20" s="1" t="str">
        <x:v>Ventilação e segurança básica</x:v>
      </x:c>
      <x:c r="D20" s="9" t="n">
        <x:v>600</x:v>
      </x:c>
      <x:c r="E20" s="2" t="str">
        <x:v>Confirmar conforto térmico e exigências locais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</x:row>
    <x:row r="21" ht="24" customHeight="1">
      <x:c r="A21" s="1"/>
      <x:c r="B21" s="1"/>
      <x:c r="C21" s="1" t="str">
        <x:v>Regularização e preparação</x:v>
      </x:c>
      <x:c r="D21" s="9" t="n">
        <x:v>1500</x:v>
      </x:c>
      <x:c r="E21" s="2" t="str">
        <x:v>Provisão; taxas/projetos reais desconhecidos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</x:row>
    <x:row r="22" ht="24" customHeight="1">
      <x:c r="A22" s="1"/>
      <x:c r="B22" s="1"/>
      <x:c r="C22" s="1" t="str">
        <x:v>Estoque e embalagens iniciais</x:v>
      </x:c>
      <x:c r="D22" s="9" t="n">
        <x:v>2000</x:v>
      </x:c>
      <x:c r="E22" s="2" t="str">
        <x:v>Compras pequenas; pedido mínimo a negociar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</x:row>
    <x:row r="23" ht="24" customHeight="1">
      <x:c r="A23" s="1"/>
      <x:c r="B23" s="1"/>
      <x:c r="C23" s="1" t="str">
        <x:v>Contingência</x:v>
      </x:c>
      <x:c r="D23" s="9" t="n">
        <x:v>1500</x:v>
      </x:c>
      <x:c r="E23" s="2" t="str">
        <x:v>Reservada para desvios de implantação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</x:row>
    <x:row r="24" ht="24" customHeight="1">
      <x:c r="A24" s="1"/>
      <x:c r="B24" s="1"/>
      <x:c r="C24" s="1" t="str">
        <x:v>Reserva de caixa operacional</x:v>
      </x:c>
      <x:c r="D24" s="9" t="n">
        <x:v>7000</x:v>
      </x:c>
      <x:c r="E24" s="2" t="str">
        <x:v>Dinheiro que permanece disponível na abertura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</x:row>
    <x:row r="25" ht="24" customHeight="1">
      <x:c r="A25" s="1"/>
      <x:c r="B25" s="1"/>
      <x:c r="C25" s="1" t="str">
        <x:v>Kit para aquecer e preparar bebidas</x:v>
      </x:c>
      <x:c r="D25" s="41" t="n">
        <x:v>500</x:v>
      </x:c>
      <x:c r="E25" s="2" t="str">
        <x:v>Aquecimento elétrico e utensílios simples. Provisão a cotar e testar.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</x:row>
    <x:row r="26" ht="28" customHeight="1">
      <x:c r="A26" s="1"/>
      <x:c r="B26" s="1"/>
      <x:c r="C26" s="6" t="str">
        <x:v>Total a disponibilizar</x:v>
      </x:c>
      <x:c r="D26" s="7" t="n">
        <x:f>SUM(D7:D25)</x:f>
        <x:v>30000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</x:row>
    <x:row r="27" ht="24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</x:row>
    <x:row r="28" ht="24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</x:row>
    <x:row r="29" ht="24" customHeight="1">
      <x:c r="A29" s="1"/>
      <x:c r="B29" s="1"/>
      <x:c r="C29" s="10" t="str">
        <x:v>R$ 30 mil é um orçamento-alvo condicionado, não uma cotação da obra ou aprovação do endereço.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</x:row>
    <x:row r="30" ht="24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</x:row>
    <x:row r="31" ht="24" customHeight="1">
      <x:c r="A31" s="1"/>
      <x:c r="B31" s="1"/>
      <x:c r="C31" s="10" t="str">
        <x:v>Sem verba para construção de banheiro acessível, extensão de redes, isolamento completo ou novo terreno.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</x:row>
    <x:row r="32" ht="24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</x:row>
    <x:row r="33" ht="24" customHeight="1">
      <x:c r="A33" s="1"/>
      <x:c r="B33" s="1"/>
      <x:c r="C33" s="10" t="str">
        <x:v>Não economizar eliminando exigências. Se a infraestrutura não existir e não for aceita, rever o ponto ou o teto.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</x:row>
    <x:row r="34" ht="24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</x:row>
    <x:row r="35" ht="24" customHeight="1">
      <x:c r="A35" s="1"/>
      <x:c r="B35" s="1"/>
      <x:c r="C35" s="1" t="str">
        <x:v>Kit bebidas de R$ 500 sai da contingência, agora R$ 1.500. Capital de giro permanece R$ 7.000.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</x:row>
    <x:row r="36" ht="24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</x:row>
    <x:row r="37" ht="24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</x:row>
    <x:row r="38" ht="24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</x:row>
    <x:row r="39" ht="24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</x:row>
    <x:row r="40" ht="24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</x:row>
    <x:row r="41" ht="24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</x:row>
    <x:row r="42" ht="24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</x:row>
    <x:row r="43" ht="24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</x:row>
    <x:row r="44" ht="24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</x:row>
    <x:row r="45" ht="24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</x:row>
    <x:row r="46" ht="24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</x:row>
    <x:row r="47" ht="24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</x:row>
    <x:row r="48" ht="24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</x:row>
    <x:row r="49" ht="24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</x:row>
    <x:row r="50" ht="24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</x:row>
    <x:row r="51" ht="24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</x:row>
    <x:row r="52" ht="24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</x:row>
    <x:row r="53" ht="24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</x:row>
    <x:row r="54" ht="24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</x:row>
    <x:row r="55" ht="24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</x:row>
    <x:row r="56" ht="24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</x:row>
    <x:row r="57" ht="24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</x:row>
    <x:row r="58" ht="24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</x:row>
    <x:row r="59" ht="24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</x:row>
    <x:row r="60" ht="24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</x:row>
    <x:row r="61" ht="24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</x:row>
    <x:row r="62" ht="24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</x:row>
    <x:row r="63" ht="24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</x:row>
    <x:row r="64" ht="24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</x:row>
    <x:row r="65" ht="24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</x:row>
    <x:row r="66" ht="24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</x:row>
    <x:row r="67" ht="24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</x:row>
    <x:row r="68" ht="24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</x:row>
    <x:row r="69" ht="24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</x:row>
    <x:row r="70" ht="24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</x:row>
    <x:row r="71" ht="24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</x:row>
    <x:row r="72" ht="24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</x:row>
    <x:row r="73" ht="24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</x:row>
    <x:row r="74" ht="24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</x:row>
    <x:row r="75" ht="24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</x:row>
    <x:row r="76" ht="24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</x:row>
    <x:row r="77" ht="24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</x:row>
    <x:row r="78" ht="24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</x:row>
    <x:row r="79" ht="24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</x:row>
    <x:row r="80" ht="24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</x:row>
    <x:row r="81" ht="24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</x:row>
    <x:row r="82" ht="24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</x:row>
    <x:row r="83" ht="24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</x:row>
    <x:row r="84" ht="24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</x:row>
    <x:row r="85" ht="24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00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</x:cols>
  <x:sheetData>
    <x:row r="1" ht="24" customHeight="1">
      <x:c r="A1" s="1"/>
      <x:c r="B1" s="1"/>
      <x:c r="C1" s="1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</x:row>
    <x:row r="2" ht="24" customHeight="1">
      <x:c r="A2" s="1"/>
      <x:c r="B2" s="1"/>
      <x:c r="C2" s="3" t="str">
        <x:v>fresh / Cardapio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</x:row>
    <x:row r="3" ht="24" customHeight="1">
      <x:c r="A3" s="1"/>
      <x:c r="B3" s="1"/>
      <x:c r="C3" s="1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</x:row>
    <x:row r="4" ht="24" customHeight="1">
      <x:c r="A4" s="1"/>
      <x:c r="B4" s="1"/>
      <x:c r="C4" s="1" t="str">
        <x:v>Cenário selecionado</x:v>
      </x:c>
      <x:c r="D4" s="30" t="str">
        <x:f>Premissas!D23</x:f>
        <x:v>Base de teste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</x:row>
    <x:row r="5" ht="24" customHeight="1">
      <x:c r="A5" s="1"/>
      <x:c r="B5" s="1"/>
      <x:c r="C5" s="1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</x:row>
    <x:row r="6" ht="46" customHeight="1">
      <x:c r="A6" s="1"/>
      <x:c r="B6" s="1"/>
      <x:c r="C6" s="11" t="str">
        <x:v>Categoria</x:v>
      </x:c>
      <x:c r="D6" s="12" t="str">
        <x:v>Preço venda</x:v>
      </x:c>
      <x:c r="E6" s="12" t="str">
        <x:v>Qtd. base kg/un</x:v>
      </x:c>
      <x:c r="F6" s="12" t="str">
        <x:v>Custo kg/un</x:v>
      </x:c>
      <x:c r="G6" s="12" t="str">
        <x:v>Complementos</x:v>
      </x:c>
      <x:c r="H6" s="12" t="str">
        <x:v>Embalagem</x:v>
      </x:c>
      <x:c r="I6" s="12" t="str">
        <x:v>Custo direto</x:v>
      </x:c>
      <x:c r="J6" s="12" t="str">
        <x:v>Itens/100 pedidos</x:v>
      </x:c>
      <x:c r="K6" s="12" t="str">
        <x:v>Receita/100</x:v>
      </x:c>
      <x:c r="L6" s="12" t="str">
        <x:v>Custo/100</x:v>
      </x:c>
      <x:c r="M6" s="12" t="str">
        <x:v>Observação</x:v>
      </x:c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</x:row>
    <x:row r="7" ht="24" customHeight="1">
      <x:c r="A7" s="1"/>
      <x:c r="B7" s="1"/>
      <x:c r="C7" s="1" t="str">
        <x:v>Smoothie cremoso proteico • 400 ml</x:v>
      </x:c>
      <x:c r="D7" s="13" t="n">
        <x:v>29</x:v>
      </x:c>
      <x:c r="E7" s="47" t="n">
        <x:f>Operacao!D22</x:f>
        <x:v>0.034</x:v>
      </x:c>
      <x:c r="F7" s="48" t="n">
        <x:f>Operacao!D25</x:f>
        <x:v>250.84444444444443</x:v>
      </x:c>
      <x:c r="G7" s="48" t="n">
        <x:f>Operacao!D23</x:f>
        <x:v>2.3</x:v>
      </x:c>
      <x:c r="H7" s="48" t="n">
        <x:f>Operacao!D24</x:f>
        <x:v>1.05</x:v>
      </x:c>
      <x:c r="I7" s="14" t="n">
        <x:f>E7*F7+G7+H7</x:f>
        <x:v>11.878711111111112</x:v>
      </x:c>
      <x:c r="J7" s="17" t="n">
        <x:v>40</x:v>
      </x:c>
      <x:c r="K7" s="2" t="n">
        <x:f>D7*J7</x:f>
        <x:v>1160</x:v>
      </x:c>
      <x:c r="L7" s="2" t="n">
        <x:f>I7*J7</x:f>
        <x:v>475.1484444444445</x:v>
      </x:c>
      <x:c r="M7" s="2" t="str">
        <x:v>Tasty Whey 34 g, fruta, água/gelo. Rendimento de 400 ml exige teste de bancada.</x:v>
      </x:c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</x:row>
    <x:row r="8" ht="24" customHeight="1">
      <x:c r="A8" s="1"/>
      <x:c r="B8" s="1"/>
      <x:c r="C8" s="1" t="str">
        <x:v>Bebidas preparadas com café / média</x:v>
      </x:c>
      <x:c r="D8" s="48" t="n">
        <x:f>Operacao!D113</x:f>
        <x:v>23.5</x:v>
      </x:c>
      <x:c r="E8" s="16" t="n">
        <x:v>1</x:v>
      </x:c>
      <x:c r="F8" s="48" t="n">
        <x:f>Operacao!D114</x:f>
        <x:v>5.647177777777777</x:v>
      </x:c>
      <x:c r="G8" s="13" t="n">
        <x:v>0</x:v>
      </x:c>
      <x:c r="H8" s="13" t="n">
        <x:v>0</x:v>
      </x:c>
      <x:c r="I8" s="14" t="n">
        <x:f>E8*F8+G8+H8</x:f>
        <x:v>5.647177777777777</x:v>
      </x:c>
      <x:c r="J8" s="17" t="n">
        <x:v>20</x:v>
      </x:c>
      <x:c r="K8" s="2" t="n">
        <x:f>D8*J8</x:f>
        <x:v>470</x:v>
      </x:c>
      <x:c r="L8" s="2" t="n">
        <x:f>I8*J8</x:f>
        <x:v>112.94355555555555</x:v>
      </x:c>
      <x:c r="M8" s="2" t="str">
        <x:v>50% café cremoso quente a R$ 18; 50% frappé de café com whey a R$ 29. Custos em Operacao.</x:v>
      </x:c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</x:row>
    <x:row r="9" ht="24" customHeight="1">
      <x:c r="A9" s="1"/>
      <x:c r="B9" s="1"/>
      <x:c r="C9" s="1" t="str">
        <x:v>Sobremesa de sorvete e frutas</x:v>
      </x:c>
      <x:c r="D9" s="13" t="n">
        <x:v>24</x:v>
      </x:c>
      <x:c r="E9" s="47" t="n">
        <x:f>Operacao!D32</x:f>
        <x:v>0.15</x:v>
      </x:c>
      <x:c r="F9" s="48" t="n">
        <x:f>Operacao!D30/Operacao!D31</x:f>
        <x:v>26.153846153846153</x:v>
      </x:c>
      <x:c r="G9" s="48" t="n">
        <x:f>Operacao!D33*Operacao!D34+Operacao!D35*Operacao!D36</x:f>
        <x:v>2.6</x:v>
      </x:c>
      <x:c r="H9" s="48" t="n">
        <x:f>Operacao!D37</x:f>
        <x:v>1.05</x:v>
      </x:c>
      <x:c r="I9" s="14" t="n">
        <x:f>E9*F9+G9+H9</x:f>
        <x:v>7.573076923076923</x:v>
      </x:c>
      <x:c r="J9" s="17" t="n">
        <x:v>20</x:v>
      </x:c>
      <x:c r="K9" s="2" t="n">
        <x:f>D9*J9</x:f>
        <x:v>480</x:v>
      </x:c>
      <x:c r="L9" s="2" t="n">
        <x:f>I9*J9</x:f>
        <x:v>151.46153846153845</x:v>
      </x:c>
      <x:c r="M9" s="2" t="str">
        <x:v>150 g sorvete + 50 g frutas + 10 g granola. Produto comum, não proteico.</x:v>
      </x:c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</x:row>
    <x:row r="10" ht="24" customHeight="1">
      <x:c r="A10" s="1"/>
      <x:c r="B10" s="1"/>
      <x:c r="C10" s="1" t="str">
        <x:v>Água mineral • 500 ml</x:v>
      </x:c>
      <x:c r="D10" s="13" t="n">
        <x:v>5</x:v>
      </x:c>
      <x:c r="E10" s="16" t="n">
        <x:v>1</x:v>
      </x:c>
      <x:c r="F10" s="13" t="n">
        <x:v>1.5</x:v>
      </x:c>
      <x:c r="G10" s="13" t="n">
        <x:v>0</x:v>
      </x:c>
      <x:c r="H10" s="13" t="n">
        <x:v>0</x:v>
      </x:c>
      <x:c r="I10" s="14" t="n">
        <x:f>E10*F10+G10+H10</x:f>
        <x:v>1.5</x:v>
      </x:c>
      <x:c r="J10" s="17" t="n">
        <x:v>25</x:v>
      </x:c>
      <x:c r="K10" s="2" t="n">
        <x:f>D10*J10</x:f>
        <x:v>125</x:v>
      </x:c>
      <x:c r="L10" s="2" t="n">
        <x:f>I10*J10</x:f>
        <x:v>37.5</x:v>
      </x:c>
      <x:c r="M10" s="2" t="str">
        <x:v>Produto fechado, custo estimado</x:v>
      </x:c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</x:row>
    <x:row r="11" ht="24" customHeight="1">
      <x:c r="A11" s="1"/>
      <x:c r="B11" s="1"/>
      <x:c r="C11" s="1" t="str">
        <x:v>Água de coco • embalagem individual</x:v>
      </x:c>
      <x:c r="D11" s="13" t="n">
        <x:v>9</x:v>
      </x:c>
      <x:c r="E11" s="16" t="n">
        <x:v>1</x:v>
      </x:c>
      <x:c r="F11" s="13" t="n">
        <x:v>4</x:v>
      </x:c>
      <x:c r="G11" s="13" t="n">
        <x:v>0</x:v>
      </x:c>
      <x:c r="H11" s="13" t="n">
        <x:v>0</x:v>
      </x:c>
      <x:c r="I11" s="14" t="n">
        <x:f>E11*F11+G11+H11</x:f>
        <x:v>4</x:v>
      </x:c>
      <x:c r="J11" s="17" t="n">
        <x:v>10</x:v>
      </x:c>
      <x:c r="K11" s="2" t="n">
        <x:f>D11*J11</x:f>
        <x:v>90</x:v>
      </x:c>
      <x:c r="L11" s="2" t="n">
        <x:f>I11*J11</x:f>
        <x:v>40</x:v>
      </x:c>
      <x:c r="M11" s="2" t="str">
        <x:v>Produto fechado, volume e marca a escolher</x:v>
      </x:c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</x:row>
    <x:row r="12" ht="24" customHeight="1">
      <x:c r="A12" s="1"/>
      <x:c r="B12" s="1"/>
      <x:c r="C12" s="1" t="str">
        <x:v>Eletrólitos • unidade lacrada</x:v>
      </x:c>
      <x:c r="D12" s="13" t="n">
        <x:v>8</x:v>
      </x:c>
      <x:c r="E12" s="16" t="n">
        <x:v>1</x:v>
      </x:c>
      <x:c r="F12" s="13" t="n">
        <x:v>4.5</x:v>
      </x:c>
      <x:c r="G12" s="13" t="n">
        <x:v>0</x:v>
      </x:c>
      <x:c r="H12" s="13" t="n">
        <x:v>0</x:v>
      </x:c>
      <x:c r="I12" s="14" t="n">
        <x:f>E12*F12+G12+H12</x:f>
        <x:v>4.5</x:v>
      </x:c>
      <x:c r="J12" s="17" t="n">
        <x:v>5</x:v>
      </x:c>
      <x:c r="K12" s="2" t="n">
        <x:f>D12*J12</x:f>
        <x:v>40</x:v>
      </x:c>
      <x:c r="L12" s="2" t="n">
        <x:f>I12*J12</x:f>
        <x:v>22.5</x:v>
      </x:c>
      <x:c r="M12" s="2" t="str">
        <x:v>Revenda individual apenas se a apresentação permitir; cotação pendente</x:v>
      </x:c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</x:row>
    <x:row r="13" ht="24" customHeight="1">
      <x:c r="A13" s="1"/>
      <x:c r="B13" s="1"/>
      <x:c r="C13" s="1" t="str">
        <x:v>Barra de proteína</x:v>
      </x:c>
      <x:c r="D13" s="13" t="n">
        <x:v>12</x:v>
      </x:c>
      <x:c r="E13" s="16" t="n">
        <x:v>1</x:v>
      </x:c>
      <x:c r="F13" s="13" t="n">
        <x:v>6.5</x:v>
      </x:c>
      <x:c r="G13" s="13" t="n">
        <x:v>0</x:v>
      </x:c>
      <x:c r="H13" s="13" t="n">
        <x:v>0</x:v>
      </x:c>
      <x:c r="I13" s="14" t="n">
        <x:f>E13*F13+G13+H13</x:f>
        <x:v>6.5</x:v>
      </x:c>
      <x:c r="J13" s="17" t="n">
        <x:v>10</x:v>
      </x:c>
      <x:c r="K13" s="2" t="n">
        <x:f>D13*J13</x:f>
        <x:v>120</x:v>
      </x:c>
      <x:c r="L13" s="2" t="n">
        <x:f>I13*J13</x:f>
        <x:v>65</x:v>
      </x:c>
      <x:c r="M13" s="2" t="str">
        <x:v>Poucos sabores, rótulo e condição de revenda a validar</x:v>
      </x:c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</x:row>
    <x:row r="14" ht="24" customHeight="1">
      <x:c r="A14" s="1"/>
      <x:c r="B14" s="1"/>
      <x:c r="C14" s="1" t="str">
        <x:v>Snack individual</x:v>
      </x:c>
      <x:c r="D14" s="13" t="n">
        <x:v>8</x:v>
      </x:c>
      <x:c r="E14" s="16" t="n">
        <x:v>1</x:v>
      </x:c>
      <x:c r="F14" s="13" t="n">
        <x:v>4</x:v>
      </x:c>
      <x:c r="G14" s="13" t="n">
        <x:v>0</x:v>
      </x:c>
      <x:c r="H14" s="13" t="n">
        <x:v>0</x:v>
      </x:c>
      <x:c r="I14" s="14" t="n">
        <x:f>E14*F14+G14+H14</x:f>
        <x:v>4</x:v>
      </x:c>
      <x:c r="J14" s="17" t="n">
        <x:v>10</x:v>
      </x:c>
      <x:c r="K14" s="2" t="n">
        <x:f>D14*J14</x:f>
        <x:v>80</x:v>
      </x:c>
      <x:c r="L14" s="2" t="n">
        <x:f>I14*J14</x:f>
        <x:v>40</x:v>
      </x:c>
      <x:c r="M14" s="2" t="str">
        <x:v>Produto fechado; custo e composição a validar</x:v>
      </x:c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</x:row>
    <x:row r="15" ht="24" customHeight="1">
      <x:c r="A15" s="1"/>
      <x:c r="B15" s="1"/>
      <x:c r="C15" s="1"/>
      <x:c r="D15" s="14"/>
      <x:c r="E15" s="14"/>
      <x:c r="F15" s="14"/>
      <x:c r="G15" s="14"/>
      <x:c r="H15" s="14"/>
      <x:c r="I15" s="14"/>
      <x:c r="J15" s="18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</x:row>
    <x:row r="16" ht="28" customHeight="1">
      <x:c r="A16" s="1"/>
      <x:c r="B16" s="1"/>
      <x:c r="C16" s="6" t="str">
        <x:v>Totais por 100 pedidos</x:v>
      </x:c>
      <x:c r="D16" s="15"/>
      <x:c r="E16" s="15"/>
      <x:c r="F16" s="15"/>
      <x:c r="G16" s="15"/>
      <x:c r="H16" s="15"/>
      <x:c r="I16" s="15"/>
      <x:c r="J16" s="19" t="n">
        <x:f>SUM(J7:J14)</x:f>
        <x:v>140</x:v>
      </x:c>
      <x:c r="K16" s="7" t="n">
        <x:f>SUM(K7:K14)</x:f>
        <x:v>2565</x:v>
      </x:c>
      <x:c r="L16" s="7" t="n">
        <x:f>SUM(L7:L14)</x:f>
        <x:v>944.5535384615386</x:v>
      </x:c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</x:row>
    <x:row r="17" ht="24" customHeight="1">
      <x:c r="A17" s="1"/>
      <x:c r="B17" s="1"/>
      <x:c r="C17" s="1"/>
      <x:c r="D17" s="14"/>
      <x:c r="E17" s="14"/>
      <x:c r="F17" s="14"/>
      <x:c r="G17" s="14"/>
      <x:c r="H17" s="14"/>
      <x:c r="I17" s="14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</x:row>
    <x:row r="18" ht="24" customHeight="1">
      <x:c r="A18" s="1"/>
      <x:c r="B18" s="1"/>
      <x:c r="C18" s="1" t="str">
        <x:v>Ticket médio da cesta</x:v>
      </x:c>
      <x:c r="D18" s="14" t="n">
        <x:f>K16/100</x:f>
        <x:v>25.65</x:v>
      </x:c>
      <x:c r="E18" s="14"/>
      <x:c r="F18" s="14"/>
      <x:c r="G18" s="14"/>
      <x:c r="H18" s="14"/>
      <x:c r="I18" s="14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</x:row>
    <x:row r="19" ht="24" customHeight="1">
      <x:c r="A19" s="1"/>
      <x:c r="B19" s="1"/>
      <x:c r="C19" s="1" t="str">
        <x:v>Custo direto médio por pedido</x:v>
      </x:c>
      <x:c r="D19" s="14" t="n">
        <x:f>L16/100</x:f>
        <x:v>9.445535384615386</x:v>
      </x:c>
      <x:c r="E19" s="14"/>
      <x:c r="F19" s="14"/>
      <x:c r="G19" s="14"/>
      <x:c r="H19" s="14"/>
      <x:c r="I19" s="14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</x:row>
    <x:row r="20" ht="24" customHeight="1">
      <x:c r="A20" s="1"/>
      <x:c r="B20" s="1"/>
      <x:c r="C20" s="1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</x:row>
    <x:row r="21" ht="24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</x:row>
    <x:row r="22" ht="24" customHeight="1">
      <x:c r="A22" s="1"/>
      <x:c r="B22" s="1"/>
      <x:c r="C22" s="10" t="str">
        <x:v>Custos estimados, salvo as referências indicadas em Operacao. Venda e dosagens exigem teste.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</x:row>
    <x:row r="23" ht="24" customHeight="1">
      <x:c r="A23" s="1"/>
      <x:c r="B23" s="1"/>
      <x:c r="C23" s="1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</x:row>
    <x:row r="24" ht="24" customHeight="1">
      <x:c r="A24" s="1"/>
      <x:c r="B24" s="1"/>
      <x:c r="C24" s="10" t="str">
        <x:v>140 itens / 100 pedidos: hipótese de 1,4 item por compra. Adicionais já incluídos no mix, sem duplicar receita.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</x:row>
    <x:row r="25" ht="24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</x:row>
    <x:row r="26" ht="24" customHeight="1">
      <x:c r="A26" s="1"/>
      <x:c r="B26" s="1"/>
      <x:c r="C26" s="10" t="str">
        <x:v>Referência pública de eletrólitos: Essential Hydrolift 30 sachês, preço regular R$ 115 (R$ 3,83/un), varejo.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</x:row>
    <x:row r="27" ht="24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</x:row>
    <x:row r="28" ht="24" customHeight="1">
      <x:c r="A28" s="1"/>
      <x:c r="B28" s="1"/>
      <x:c r="C28" s="10" t="str">
        <x:v>https://www.essentialnutrition.com.br/produtos/enhanced-formulas?indicacoes=268&amp;product_list_dir=asc&amp;sabor_categoria=350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</x:row>
    <x:row r="29" ht="24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</x:row>
    <x:row r="30" ht="24" customHeight="1">
      <x:c r="A30" s="1"/>
      <x:c r="B30" s="1"/>
      <x:c r="C30" s="10" t="str">
        <x:v>Consulta 07/10/2026. Promoções, frete, disponibilidade e uso da embalagem individual precisam ser conferidos.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</x:row>
    <x:row r="31" ht="24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</x:row>
    <x:row r="32" ht="24" customHeight="1">
      <x:c r="A32" s="1"/>
      <x:c r="B32" s="1"/>
      <x:c r="C32" s="10" t="str">
        <x:v>Referência local: Smoov Marista, proteinados 360 ml desde R$ 25,99–27,99; 480 ml desde R$ 34,99–35,99.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</x:row>
    <x:row r="33" ht="24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</x:row>
    <x:row r="34" ht="24" customHeight="1">
      <x:c r="A34" s="1"/>
      <x:c r="B34" s="1"/>
      <x:c r="C34" s="10" t="str">
        <x:v>https://cardapio.gototem.com.br/smoov-marista-go_591/cardapio • consulta 07/10/2026; canal online, adicionais à parte.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</x:row>
    <x:row r="35" ht="24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</x:row>
    <x:row r="36" ht="24" customHeight="1">
      <x:c r="A36" s="1"/>
      <x:c r="B36" s="1"/>
      <x:c r="C36" s="10" t="str">
        <x:v>Smoothie a R$ 29 e sobremesa a R$ 24 são preços de teste. Mix médio não é um combo fixo.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</x:row>
    <x:row r="37" ht="24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</x:row>
    <x:row r="38" ht="24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</x:row>
    <x:row r="39" ht="24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</x:row>
    <x:row r="40" ht="24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</x:row>
    <x:row r="41" ht="24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</x:row>
    <x:row r="42" ht="24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</x:row>
    <x:row r="43" ht="24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</x:row>
    <x:row r="44" ht="24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</x:row>
    <x:row r="45" ht="24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</x:row>
    <x:row r="46" ht="24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</x:row>
    <x:row r="47" ht="24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</x:row>
    <x:row r="48" ht="24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</x:row>
    <x:row r="49" ht="24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</x:row>
    <x:row r="50" ht="24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</x:row>
    <x:row r="51" ht="24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</x:row>
    <x:row r="52" ht="24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</x:row>
    <x:row r="53" ht="24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</x:row>
    <x:row r="54" ht="24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</x:row>
    <x:row r="55" ht="24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</x:row>
    <x:row r="56" ht="24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</x:row>
    <x:row r="57" ht="24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</x:row>
    <x:row r="58" ht="24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</x:row>
    <x:row r="59" ht="24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</x:row>
    <x:row r="60" ht="24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</x:row>
    <x:row r="61" ht="24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</x:row>
    <x:row r="62" ht="24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</x:row>
    <x:row r="63" ht="24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</x:row>
    <x:row r="64" ht="24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</x:row>
    <x:row r="65" ht="24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</x:row>
    <x:row r="66" ht="24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</x:row>
    <x:row r="67" ht="24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</x:row>
    <x:row r="68" ht="24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</x:row>
    <x:row r="69" ht="24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</x:row>
    <x:row r="70" ht="24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</x:row>
    <x:row r="71" ht="24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</x:row>
    <x:row r="72" ht="24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</x:row>
    <x:row r="73" ht="24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</x:row>
    <x:row r="74" ht="24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</x:row>
    <x:row r="75" ht="24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</x:row>
    <x:row r="76" ht="24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</x:row>
    <x:row r="77" ht="24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</x:row>
    <x:row r="78" ht="24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</x:row>
    <x:row r="79" ht="24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</x:row>
    <x:row r="80" ht="24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</x:row>
    <x:row r="81" ht="24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</x:row>
    <x:row r="82" ht="24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</x:row>
    <x:row r="83" ht="24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</x:row>
    <x:row r="84" ht="24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</x:row>
    <x:row r="85" ht="24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</x:cols>
  <x:sheetData>
    <x:row r="1" ht="24" customHeight="1">
      <x:c r="A1" s="1"/>
      <x:c r="B1" s="1"/>
      <x:c r="C1" s="1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</x:row>
    <x:row r="2" ht="24" customHeight="1">
      <x:c r="A2" s="1"/>
      <x:c r="B2" s="1"/>
      <x:c r="C2" s="3" t="str">
        <x:v>fresh / Fluxo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</x:row>
    <x:row r="3" ht="24" customHeight="1">
      <x:c r="A3" s="1"/>
      <x:c r="B3" s="1"/>
      <x:c r="C3" s="1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</x:row>
    <x:row r="4" ht="24" customHeight="1">
      <x:c r="A4" s="1"/>
      <x:c r="B4" s="1"/>
      <x:c r="C4" s="1" t="str">
        <x:v>Cenário selecionado</x:v>
      </x:c>
      <x:c r="D4" s="30" t="str">
        <x:f>Premissas!D23</x:f>
        <x:v>Base de teste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</x:row>
    <x:row r="5" ht="24" customHeight="1">
      <x:c r="A5" s="1"/>
      <x:c r="B5" s="1"/>
      <x:c r="C5" s="1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</x:row>
    <x:row r="6" ht="28" customHeight="1">
      <x:c r="A6" s="1"/>
      <x:c r="B6" s="1"/>
      <x:c r="C6" s="6" t="str">
        <x:v>Mês</x:v>
      </x:c>
      <x:c r="D6" s="24" t="n">
        <x:v>1</x:v>
      </x:c>
      <x:c r="E6" s="24" t="n">
        <x:v>2</x:v>
      </x:c>
      <x:c r="F6" s="24" t="n">
        <x:v>3</x:v>
      </x:c>
      <x:c r="G6" s="24" t="n">
        <x:v>4</x:v>
      </x:c>
      <x:c r="H6" s="24" t="n">
        <x:v>5</x:v>
      </x:c>
      <x:c r="I6" s="24" t="n">
        <x:v>6</x:v>
      </x:c>
      <x:c r="J6" s="24" t="n">
        <x:v>7</x:v>
      </x:c>
      <x:c r="K6" s="24" t="n">
        <x:v>8</x:v>
      </x:c>
      <x:c r="L6" s="24" t="n">
        <x:v>9</x:v>
      </x:c>
      <x:c r="M6" s="24" t="n">
        <x:v>10</x:v>
      </x:c>
      <x:c r="N6" s="24" t="n">
        <x:v>11</x:v>
      </x:c>
      <x:c r="O6" s="24" t="n">
        <x:v>12</x:v>
      </x:c>
      <x:c r="P6" s="24" t="n">
        <x:v>13</x:v>
      </x:c>
      <x:c r="Q6" s="24" t="n">
        <x:v>14</x:v>
      </x:c>
      <x:c r="R6" s="24" t="n">
        <x:v>15</x:v>
      </x:c>
      <x:c r="S6" s="24" t="n">
        <x:v>16</x:v>
      </x:c>
      <x:c r="T6" s="24" t="n">
        <x:v>17</x:v>
      </x:c>
      <x:c r="U6" s="24" t="n">
        <x:v>18</x:v>
      </x:c>
      <x:c r="V6" s="24" t="n">
        <x:v>19</x:v>
      </x:c>
      <x:c r="W6" s="24" t="n">
        <x:v>20</x:v>
      </x:c>
      <x:c r="X6" s="24" t="n">
        <x:v>21</x:v>
      </x:c>
      <x:c r="Y6" s="24" t="n">
        <x:v>22</x:v>
      </x:c>
      <x:c r="Z6" s="24" t="n">
        <x:v>23</x:v>
      </x:c>
      <x:c r="AA6" s="24" t="n">
        <x:v>24</x:v>
      </x:c>
      <x:c r="AB6" s="24" t="n">
        <x:v>25</x:v>
      </x:c>
      <x:c r="AC6" s="24" t="n">
        <x:v>26</x:v>
      </x:c>
      <x:c r="AD6" s="24" t="n">
        <x:v>27</x:v>
      </x:c>
      <x:c r="AE6" s="24" t="n">
        <x:v>28</x:v>
      </x:c>
      <x:c r="AF6" s="24" t="n">
        <x:v>29</x:v>
      </x:c>
      <x:c r="AG6" s="24" t="n">
        <x:v>30</x:v>
      </x:c>
      <x:c r="AH6" s="24" t="n">
        <x:v>31</x:v>
      </x:c>
      <x:c r="AI6" s="24" t="n">
        <x:v>32</x:v>
      </x:c>
      <x:c r="AJ6" s="24" t="n">
        <x:v>33</x:v>
      </x:c>
      <x:c r="AK6" s="24" t="n">
        <x:v>34</x:v>
      </x:c>
      <x:c r="AL6" s="24" t="n">
        <x:v>35</x:v>
      </x:c>
      <x:c r="AM6" s="24" t="n">
        <x:v>36</x:v>
      </x:c>
    </x:row>
    <x:row r="7" ht="24" customHeight="1">
      <x:c r="A7" s="1"/>
      <x:c r="B7" s="1"/>
      <x:c r="C7" s="1" t="str">
        <x:v>Rampa de vendas</x:v>
      </x:c>
      <x:c r="D7" s="26" t="n">
        <x:f>Premissas!D45</x:f>
        <x:v>0.55</x:v>
      </x:c>
      <x:c r="E7" s="26" t="n">
        <x:f>Premissas!E45</x:f>
        <x:v>0.7</x:v>
      </x:c>
      <x:c r="F7" s="26" t="n">
        <x:f>Premissas!F45</x:f>
        <x:v>0.85</x:v>
      </x:c>
      <x:c r="G7" s="26" t="n">
        <x:f>Premissas!G45</x:f>
        <x:v>1</x:v>
      </x:c>
      <x:c r="H7" s="26" t="n">
        <x:f>Premissas!G45</x:f>
        <x:v>1</x:v>
      </x:c>
      <x:c r="I7" s="26" t="n">
        <x:f>Premissas!G45</x:f>
        <x:v>1</x:v>
      </x:c>
      <x:c r="J7" s="26" t="n">
        <x:f>Premissas!G45</x:f>
        <x:v>1</x:v>
      </x:c>
      <x:c r="K7" s="26" t="n">
        <x:f>Premissas!G45</x:f>
        <x:v>1</x:v>
      </x:c>
      <x:c r="L7" s="26" t="n">
        <x:f>Premissas!G45</x:f>
        <x:v>1</x:v>
      </x:c>
      <x:c r="M7" s="26" t="n">
        <x:f>Premissas!G45</x:f>
        <x:v>1</x:v>
      </x:c>
      <x:c r="N7" s="26" t="n">
        <x:f>Premissas!G45</x:f>
        <x:v>1</x:v>
      </x:c>
      <x:c r="O7" s="26" t="n">
        <x:f>Premissas!G45</x:f>
        <x:v>1</x:v>
      </x:c>
      <x:c r="P7" s="26" t="n">
        <x:f>Premissas!G45</x:f>
        <x:v>1</x:v>
      </x:c>
      <x:c r="Q7" s="26" t="n">
        <x:f>Premissas!G45</x:f>
        <x:v>1</x:v>
      </x:c>
      <x:c r="R7" s="26" t="n">
        <x:f>Premissas!G45</x:f>
        <x:v>1</x:v>
      </x:c>
      <x:c r="S7" s="26" t="n">
        <x:f>Premissas!G45</x:f>
        <x:v>1</x:v>
      </x:c>
      <x:c r="T7" s="26" t="n">
        <x:f>Premissas!G45</x:f>
        <x:v>1</x:v>
      </x:c>
      <x:c r="U7" s="26" t="n">
        <x:f>Premissas!G45</x:f>
        <x:v>1</x:v>
      </x:c>
      <x:c r="V7" s="26" t="n">
        <x:f>Premissas!G45</x:f>
        <x:v>1</x:v>
      </x:c>
      <x:c r="W7" s="26" t="n">
        <x:f>Premissas!G45</x:f>
        <x:v>1</x:v>
      </x:c>
      <x:c r="X7" s="26" t="n">
        <x:f>Premissas!G45</x:f>
        <x:v>1</x:v>
      </x:c>
      <x:c r="Y7" s="26" t="n">
        <x:f>Premissas!G45</x:f>
        <x:v>1</x:v>
      </x:c>
      <x:c r="Z7" s="26" t="n">
        <x:f>Premissas!G45</x:f>
        <x:v>1</x:v>
      </x:c>
      <x:c r="AA7" s="26" t="n">
        <x:f>Premissas!G45</x:f>
        <x:v>1</x:v>
      </x:c>
      <x:c r="AB7" s="26" t="n">
        <x:f>Premissas!G45</x:f>
        <x:v>1</x:v>
      </x:c>
      <x:c r="AC7" s="26" t="n">
        <x:f>Premissas!G45</x:f>
        <x:v>1</x:v>
      </x:c>
      <x:c r="AD7" s="26" t="n">
        <x:f>Premissas!G45</x:f>
        <x:v>1</x:v>
      </x:c>
      <x:c r="AE7" s="26" t="n">
        <x:f>Premissas!G45</x:f>
        <x:v>1</x:v>
      </x:c>
      <x:c r="AF7" s="26" t="n">
        <x:f>Premissas!G45</x:f>
        <x:v>1</x:v>
      </x:c>
      <x:c r="AG7" s="26" t="n">
        <x:f>Premissas!G45</x:f>
        <x:v>1</x:v>
      </x:c>
      <x:c r="AH7" s="26" t="n">
        <x:f>Premissas!G45</x:f>
        <x:v>1</x:v>
      </x:c>
      <x:c r="AI7" s="26" t="n">
        <x:f>Premissas!G45</x:f>
        <x:v>1</x:v>
      </x:c>
      <x:c r="AJ7" s="26" t="n">
        <x:f>Premissas!G45</x:f>
        <x:v>1</x:v>
      </x:c>
      <x:c r="AK7" s="26" t="n">
        <x:f>Premissas!G45</x:f>
        <x:v>1</x:v>
      </x:c>
      <x:c r="AL7" s="26" t="n">
        <x:f>Premissas!G45</x:f>
        <x:v>1</x:v>
      </x:c>
      <x:c r="AM7" s="26" t="n">
        <x:f>Premissas!G45</x:f>
        <x:v>1</x:v>
      </x:c>
    </x:row>
    <x:row r="8" ht="24" customHeight="1">
      <x:c r="A8" s="1"/>
      <x:c r="B8" s="1"/>
      <x:c r="C8" s="1" t="str">
        <x:v>Pedidos / dia</x:v>
      </x:c>
      <x:c r="D8" s="25" t="n">
        <x:f>Premissas!$D$24*D7</x:f>
        <x:v>24.750000000000004</x:v>
      </x:c>
      <x:c r="E8" s="25" t="n">
        <x:f>Premissas!$D$24*E7</x:f>
        <x:v>31.499999999999996</x:v>
      </x:c>
      <x:c r="F8" s="25" t="n">
        <x:f>Premissas!$D$24*F7</x:f>
        <x:v>38.25</x:v>
      </x:c>
      <x:c r="G8" s="25" t="n">
        <x:f>Premissas!$D$24*G7</x:f>
        <x:v>45</x:v>
      </x:c>
      <x:c r="H8" s="25" t="n">
        <x:f>Premissas!$D$24*H7</x:f>
        <x:v>45</x:v>
      </x:c>
      <x:c r="I8" s="25" t="n">
        <x:f>Premissas!$D$24*I7</x:f>
        <x:v>45</x:v>
      </x:c>
      <x:c r="J8" s="25" t="n">
        <x:f>Premissas!$D$24*J7</x:f>
        <x:v>45</x:v>
      </x:c>
      <x:c r="K8" s="25" t="n">
        <x:f>Premissas!$D$24*K7</x:f>
        <x:v>45</x:v>
      </x:c>
      <x:c r="L8" s="25" t="n">
        <x:f>Premissas!$D$24*L7</x:f>
        <x:v>45</x:v>
      </x:c>
      <x:c r="M8" s="25" t="n">
        <x:f>Premissas!$D$24*M7</x:f>
        <x:v>45</x:v>
      </x:c>
      <x:c r="N8" s="25" t="n">
        <x:f>Premissas!$D$24*N7</x:f>
        <x:v>45</x:v>
      </x:c>
      <x:c r="O8" s="25" t="n">
        <x:f>Premissas!$D$24*O7</x:f>
        <x:v>45</x:v>
      </x:c>
      <x:c r="P8" s="25" t="n">
        <x:f>Premissas!$D$24*P7</x:f>
        <x:v>45</x:v>
      </x:c>
      <x:c r="Q8" s="25" t="n">
        <x:f>Premissas!$D$24*Q7</x:f>
        <x:v>45</x:v>
      </x:c>
      <x:c r="R8" s="25" t="n">
        <x:f>Premissas!$D$24*R7</x:f>
        <x:v>45</x:v>
      </x:c>
      <x:c r="S8" s="25" t="n">
        <x:f>Premissas!$D$24*S7</x:f>
        <x:v>45</x:v>
      </x:c>
      <x:c r="T8" s="25" t="n">
        <x:f>Premissas!$D$24*T7</x:f>
        <x:v>45</x:v>
      </x:c>
      <x:c r="U8" s="25" t="n">
        <x:f>Premissas!$D$24*U7</x:f>
        <x:v>45</x:v>
      </x:c>
      <x:c r="V8" s="25" t="n">
        <x:f>Premissas!$D$24*V7</x:f>
        <x:v>45</x:v>
      </x:c>
      <x:c r="W8" s="25" t="n">
        <x:f>Premissas!$D$24*W7</x:f>
        <x:v>45</x:v>
      </x:c>
      <x:c r="X8" s="25" t="n">
        <x:f>Premissas!$D$24*X7</x:f>
        <x:v>45</x:v>
      </x:c>
      <x:c r="Y8" s="25" t="n">
        <x:f>Premissas!$D$24*Y7</x:f>
        <x:v>45</x:v>
      </x:c>
      <x:c r="Z8" s="25" t="n">
        <x:f>Premissas!$D$24*Z7</x:f>
        <x:v>45</x:v>
      </x:c>
      <x:c r="AA8" s="25" t="n">
        <x:f>Premissas!$D$24*AA7</x:f>
        <x:v>45</x:v>
      </x:c>
      <x:c r="AB8" s="25" t="n">
        <x:f>Premissas!$D$24*AB7</x:f>
        <x:v>45</x:v>
      </x:c>
      <x:c r="AC8" s="25" t="n">
        <x:f>Premissas!$D$24*AC7</x:f>
        <x:v>45</x:v>
      </x:c>
      <x:c r="AD8" s="25" t="n">
        <x:f>Premissas!$D$24*AD7</x:f>
        <x:v>45</x:v>
      </x:c>
      <x:c r="AE8" s="25" t="n">
        <x:f>Premissas!$D$24*AE7</x:f>
        <x:v>45</x:v>
      </x:c>
      <x:c r="AF8" s="25" t="n">
        <x:f>Premissas!$D$24*AF7</x:f>
        <x:v>45</x:v>
      </x:c>
      <x:c r="AG8" s="25" t="n">
        <x:f>Premissas!$D$24*AG7</x:f>
        <x:v>45</x:v>
      </x:c>
      <x:c r="AH8" s="25" t="n">
        <x:f>Premissas!$D$24*AH7</x:f>
        <x:v>45</x:v>
      </x:c>
      <x:c r="AI8" s="25" t="n">
        <x:f>Premissas!$D$24*AI7</x:f>
        <x:v>45</x:v>
      </x:c>
      <x:c r="AJ8" s="25" t="n">
        <x:f>Premissas!$D$24*AJ7</x:f>
        <x:v>45</x:v>
      </x:c>
      <x:c r="AK8" s="25" t="n">
        <x:f>Premissas!$D$24*AK7</x:f>
        <x:v>45</x:v>
      </x:c>
      <x:c r="AL8" s="25" t="n">
        <x:f>Premissas!$D$24*AL7</x:f>
        <x:v>45</x:v>
      </x:c>
      <x:c r="AM8" s="25" t="n">
        <x:f>Premissas!$D$24*AM7</x:f>
        <x:v>45</x:v>
      </x:c>
    </x:row>
    <x:row r="9" ht="24" customHeight="1">
      <x:c r="A9" s="1"/>
      <x:c r="B9" s="1"/>
      <x:c r="C9" s="1" t="str">
        <x:v>Pedidos / mês</x:v>
      </x:c>
      <x:c r="D9" s="25" t="n">
        <x:f>D8*Premissas!$D$7</x:f>
        <x:v>643.5000000000001</x:v>
      </x:c>
      <x:c r="E9" s="25" t="n">
        <x:f>E8*Premissas!$D$7</x:f>
        <x:v>818.9999999999999</x:v>
      </x:c>
      <x:c r="F9" s="25" t="n">
        <x:f>F8*Premissas!$D$7</x:f>
        <x:v>994.5</x:v>
      </x:c>
      <x:c r="G9" s="25" t="n">
        <x:f>G8*Premissas!$D$7</x:f>
        <x:v>1170</x:v>
      </x:c>
      <x:c r="H9" s="25" t="n">
        <x:f>H8*Premissas!$D$7</x:f>
        <x:v>1170</x:v>
      </x:c>
      <x:c r="I9" s="25" t="n">
        <x:f>I8*Premissas!$D$7</x:f>
        <x:v>1170</x:v>
      </x:c>
      <x:c r="J9" s="25" t="n">
        <x:f>J8*Premissas!$D$7</x:f>
        <x:v>1170</x:v>
      </x:c>
      <x:c r="K9" s="25" t="n">
        <x:f>K8*Premissas!$D$7</x:f>
        <x:v>1170</x:v>
      </x:c>
      <x:c r="L9" s="25" t="n">
        <x:f>L8*Premissas!$D$7</x:f>
        <x:v>1170</x:v>
      </x:c>
      <x:c r="M9" s="25" t="n">
        <x:f>M8*Premissas!$D$7</x:f>
        <x:v>1170</x:v>
      </x:c>
      <x:c r="N9" s="25" t="n">
        <x:f>N8*Premissas!$D$7</x:f>
        <x:v>1170</x:v>
      </x:c>
      <x:c r="O9" s="25" t="n">
        <x:f>O8*Premissas!$D$7</x:f>
        <x:v>1170</x:v>
      </x:c>
      <x:c r="P9" s="25" t="n">
        <x:f>P8*Premissas!$D$7</x:f>
        <x:v>1170</x:v>
      </x:c>
      <x:c r="Q9" s="25" t="n">
        <x:f>Q8*Premissas!$D$7</x:f>
        <x:v>1170</x:v>
      </x:c>
      <x:c r="R9" s="25" t="n">
        <x:f>R8*Premissas!$D$7</x:f>
        <x:v>1170</x:v>
      </x:c>
      <x:c r="S9" s="25" t="n">
        <x:f>S8*Premissas!$D$7</x:f>
        <x:v>1170</x:v>
      </x:c>
      <x:c r="T9" s="25" t="n">
        <x:f>T8*Premissas!$D$7</x:f>
        <x:v>1170</x:v>
      </x:c>
      <x:c r="U9" s="25" t="n">
        <x:f>U8*Premissas!$D$7</x:f>
        <x:v>1170</x:v>
      </x:c>
      <x:c r="V9" s="25" t="n">
        <x:f>V8*Premissas!$D$7</x:f>
        <x:v>1170</x:v>
      </x:c>
      <x:c r="W9" s="25" t="n">
        <x:f>W8*Premissas!$D$7</x:f>
        <x:v>1170</x:v>
      </x:c>
      <x:c r="X9" s="25" t="n">
        <x:f>X8*Premissas!$D$7</x:f>
        <x:v>1170</x:v>
      </x:c>
      <x:c r="Y9" s="25" t="n">
        <x:f>Y8*Premissas!$D$7</x:f>
        <x:v>1170</x:v>
      </x:c>
      <x:c r="Z9" s="25" t="n">
        <x:f>Z8*Premissas!$D$7</x:f>
        <x:v>1170</x:v>
      </x:c>
      <x:c r="AA9" s="25" t="n">
        <x:f>AA8*Premissas!$D$7</x:f>
        <x:v>1170</x:v>
      </x:c>
      <x:c r="AB9" s="25" t="n">
        <x:f>AB8*Premissas!$D$7</x:f>
        <x:v>1170</x:v>
      </x:c>
      <x:c r="AC9" s="25" t="n">
        <x:f>AC8*Premissas!$D$7</x:f>
        <x:v>1170</x:v>
      </x:c>
      <x:c r="AD9" s="25" t="n">
        <x:f>AD8*Premissas!$D$7</x:f>
        <x:v>1170</x:v>
      </x:c>
      <x:c r="AE9" s="25" t="n">
        <x:f>AE8*Premissas!$D$7</x:f>
        <x:v>1170</x:v>
      </x:c>
      <x:c r="AF9" s="25" t="n">
        <x:f>AF8*Premissas!$D$7</x:f>
        <x:v>1170</x:v>
      </x:c>
      <x:c r="AG9" s="25" t="n">
        <x:f>AG8*Premissas!$D$7</x:f>
        <x:v>1170</x:v>
      </x:c>
      <x:c r="AH9" s="25" t="n">
        <x:f>AH8*Premissas!$D$7</x:f>
        <x:v>1170</x:v>
      </x:c>
      <x:c r="AI9" s="25" t="n">
        <x:f>AI8*Premissas!$D$7</x:f>
        <x:v>1170</x:v>
      </x:c>
      <x:c r="AJ9" s="25" t="n">
        <x:f>AJ8*Premissas!$D$7</x:f>
        <x:v>1170</x:v>
      </x:c>
      <x:c r="AK9" s="25" t="n">
        <x:f>AK8*Premissas!$D$7</x:f>
        <x:v>1170</x:v>
      </x:c>
      <x:c r="AL9" s="25" t="n">
        <x:f>AL8*Premissas!$D$7</x:f>
        <x:v>1170</x:v>
      </x:c>
      <x:c r="AM9" s="25" t="n">
        <x:f>AM8*Premissas!$D$7</x:f>
        <x:v>1170</x:v>
      </x:c>
    </x:row>
    <x:row r="10" ht="24" customHeight="1">
      <x:c r="A10" s="1"/>
      <x:c r="B10" s="1"/>
      <x:c r="C10" s="1" t="str">
        <x:v>Receita</x:v>
      </x:c>
      <x:c r="D10" s="2" t="n">
        <x:f>SUM(D44:D45)</x:f>
        <x:v>16505.775</x:v>
      </x:c>
      <x:c r="E10" s="2" t="n">
        <x:f>SUM(E44:E45)</x:f>
        <x:v>21007.349999999995</x:v>
      </x:c>
      <x:c r="F10" s="2" t="n">
        <x:f>SUM(F44:F45)</x:f>
        <x:v>25508.925</x:v>
      </x:c>
      <x:c r="G10" s="2" t="n">
        <x:f>SUM(G44:G45)</x:f>
        <x:v>31210.92</x:v>
      </x:c>
      <x:c r="H10" s="2" t="n">
        <x:f>SUM(H44:H45)</x:f>
        <x:v>31210.92</x:v>
      </x:c>
      <x:c r="I10" s="2" t="n">
        <x:f>SUM(I44:I45)</x:f>
        <x:v>31210.92</x:v>
      </x:c>
      <x:c r="J10" s="2" t="n">
        <x:f>SUM(J44:J45)</x:f>
        <x:v>31210.92</x:v>
      </x:c>
      <x:c r="K10" s="2" t="n">
        <x:f>SUM(K44:K45)</x:f>
        <x:v>31210.92</x:v>
      </x:c>
      <x:c r="L10" s="2" t="n">
        <x:f>SUM(L44:L45)</x:f>
        <x:v>31210.92</x:v>
      </x:c>
      <x:c r="M10" s="2" t="n">
        <x:f>SUM(M44:M45)</x:f>
        <x:v>31210.92</x:v>
      </x:c>
      <x:c r="N10" s="2" t="n">
        <x:f>SUM(N44:N45)</x:f>
        <x:v>31210.92</x:v>
      </x:c>
      <x:c r="O10" s="2" t="n">
        <x:f>SUM(O44:O45)</x:f>
        <x:v>31210.92</x:v>
      </x:c>
      <x:c r="P10" s="2" t="n">
        <x:f>SUM(P44:P45)</x:f>
        <x:v>31210.92</x:v>
      </x:c>
      <x:c r="Q10" s="2" t="n">
        <x:f>SUM(Q44:Q45)</x:f>
        <x:v>31210.92</x:v>
      </x:c>
      <x:c r="R10" s="2" t="n">
        <x:f>SUM(R44:R45)</x:f>
        <x:v>31210.92</x:v>
      </x:c>
      <x:c r="S10" s="2" t="n">
        <x:f>SUM(S44:S45)</x:f>
        <x:v>31210.92</x:v>
      </x:c>
      <x:c r="T10" s="2" t="n">
        <x:f>SUM(T44:T45)</x:f>
        <x:v>31210.92</x:v>
      </x:c>
      <x:c r="U10" s="2" t="n">
        <x:f>SUM(U44:U45)</x:f>
        <x:v>31210.92</x:v>
      </x:c>
      <x:c r="V10" s="2" t="n">
        <x:f>SUM(V44:V45)</x:f>
        <x:v>31210.92</x:v>
      </x:c>
      <x:c r="W10" s="2" t="n">
        <x:f>SUM(W44:W45)</x:f>
        <x:v>31210.92</x:v>
      </x:c>
      <x:c r="X10" s="2" t="n">
        <x:f>SUM(X44:X45)</x:f>
        <x:v>31210.92</x:v>
      </x:c>
      <x:c r="Y10" s="2" t="n">
        <x:f>SUM(Y44:Y45)</x:f>
        <x:v>31210.92</x:v>
      </x:c>
      <x:c r="Z10" s="2" t="n">
        <x:f>SUM(Z44:Z45)</x:f>
        <x:v>31210.92</x:v>
      </x:c>
      <x:c r="AA10" s="2" t="n">
        <x:f>SUM(AA44:AA45)</x:f>
        <x:v>31210.92</x:v>
      </x:c>
      <x:c r="AB10" s="2" t="n">
        <x:f>SUM(AB44:AB45)</x:f>
        <x:v>31210.92</x:v>
      </x:c>
      <x:c r="AC10" s="2" t="n">
        <x:f>SUM(AC44:AC45)</x:f>
        <x:v>31210.92</x:v>
      </x:c>
      <x:c r="AD10" s="2" t="n">
        <x:f>SUM(AD44:AD45)</x:f>
        <x:v>31210.92</x:v>
      </x:c>
      <x:c r="AE10" s="2" t="n">
        <x:f>SUM(AE44:AE45)</x:f>
        <x:v>31210.92</x:v>
      </x:c>
      <x:c r="AF10" s="2" t="n">
        <x:f>SUM(AF44:AF45)</x:f>
        <x:v>31210.92</x:v>
      </x:c>
      <x:c r="AG10" s="2" t="n">
        <x:f>SUM(AG44:AG45)</x:f>
        <x:v>31210.92</x:v>
      </x:c>
      <x:c r="AH10" s="2" t="n">
        <x:f>SUM(AH44:AH45)</x:f>
        <x:v>31210.92</x:v>
      </x:c>
      <x:c r="AI10" s="2" t="n">
        <x:f>SUM(AI44:AI45)</x:f>
        <x:v>31210.92</x:v>
      </x:c>
      <x:c r="AJ10" s="2" t="n">
        <x:f>SUM(AJ44:AJ45)</x:f>
        <x:v>31210.92</x:v>
      </x:c>
      <x:c r="AK10" s="2" t="n">
        <x:f>SUM(AK44:AK45)</x:f>
        <x:v>31210.92</x:v>
      </x:c>
      <x:c r="AL10" s="2" t="n">
        <x:f>SUM(AL44:AL45)</x:f>
        <x:v>31210.92</x:v>
      </x:c>
      <x:c r="AM10" s="2" t="n">
        <x:f>SUM(AM44:AM45)</x:f>
        <x:v>31210.92</x:v>
      </x:c>
    </x:row>
    <x:row r="11" ht="24" customHeight="1">
      <x:c r="A11" s="1"/>
      <x:c r="B11" s="1"/>
      <x:c r="C11" s="1" t="str">
        <x:v>Custo dos produtos</x:v>
      </x:c>
      <x:c r="D11" s="2" t="n">
        <x:f>D9*Cardapio!$D$19*Premissas!$D$26+D49</x:f>
        <x:v>6078.202020000002</x:v>
      </x:c>
      <x:c r="E11" s="2" t="n">
        <x:f>E9*Cardapio!$D$19*Premissas!$D$26+E49</x:f>
        <x:v>7735.893480000001</x:v>
      </x:c>
      <x:c r="F11" s="2" t="n">
        <x:f>F9*Cardapio!$D$19*Premissas!$D$26+F49</x:f>
        <x:v>9393.584940000002</x:v>
      </x:c>
      <x:c r="G11" s="2" t="n">
        <x:f>G9*Cardapio!$D$19*Premissas!$D$26+G49</x:f>
        <x:v>11402.276400000002</x:v>
      </x:c>
      <x:c r="H11" s="2" t="n">
        <x:f>H9*Cardapio!$D$19*Premissas!$D$26+H49</x:f>
        <x:v>11402.276400000002</x:v>
      </x:c>
      <x:c r="I11" s="2" t="n">
        <x:f>I9*Cardapio!$D$19*Premissas!$D$26+I49</x:f>
        <x:v>11402.276400000002</x:v>
      </x:c>
      <x:c r="J11" s="2" t="n">
        <x:f>J9*Cardapio!$D$19*Premissas!$D$26+J49</x:f>
        <x:v>11402.276400000002</x:v>
      </x:c>
      <x:c r="K11" s="2" t="n">
        <x:f>K9*Cardapio!$D$19*Premissas!$D$26+K49</x:f>
        <x:v>11402.276400000002</x:v>
      </x:c>
      <x:c r="L11" s="2" t="n">
        <x:f>L9*Cardapio!$D$19*Premissas!$D$26+L49</x:f>
        <x:v>11402.276400000002</x:v>
      </x:c>
      <x:c r="M11" s="2" t="n">
        <x:f>M9*Cardapio!$D$19*Premissas!$D$26+M49</x:f>
        <x:v>11402.276400000002</x:v>
      </x:c>
      <x:c r="N11" s="2" t="n">
        <x:f>N9*Cardapio!$D$19*Premissas!$D$26+N49</x:f>
        <x:v>11402.276400000002</x:v>
      </x:c>
      <x:c r="O11" s="2" t="n">
        <x:f>O9*Cardapio!$D$19*Premissas!$D$26+O49</x:f>
        <x:v>11402.276400000002</x:v>
      </x:c>
      <x:c r="P11" s="2" t="n">
        <x:f>P9*Cardapio!$D$19*Premissas!$D$26+P49</x:f>
        <x:v>11402.276400000002</x:v>
      </x:c>
      <x:c r="Q11" s="2" t="n">
        <x:f>Q9*Cardapio!$D$19*Premissas!$D$26+Q49</x:f>
        <x:v>11402.276400000002</x:v>
      </x:c>
      <x:c r="R11" s="2" t="n">
        <x:f>R9*Cardapio!$D$19*Premissas!$D$26+R49</x:f>
        <x:v>11402.276400000002</x:v>
      </x:c>
      <x:c r="S11" s="2" t="n">
        <x:f>S9*Cardapio!$D$19*Premissas!$D$26+S49</x:f>
        <x:v>11402.276400000002</x:v>
      </x:c>
      <x:c r="T11" s="2" t="n">
        <x:f>T9*Cardapio!$D$19*Premissas!$D$26+T49</x:f>
        <x:v>11402.276400000002</x:v>
      </x:c>
      <x:c r="U11" s="2" t="n">
        <x:f>U9*Cardapio!$D$19*Premissas!$D$26+U49</x:f>
        <x:v>11402.276400000002</x:v>
      </x:c>
      <x:c r="V11" s="2" t="n">
        <x:f>V9*Cardapio!$D$19*Premissas!$D$26+V49</x:f>
        <x:v>11402.276400000002</x:v>
      </x:c>
      <x:c r="W11" s="2" t="n">
        <x:f>W9*Cardapio!$D$19*Premissas!$D$26+W49</x:f>
        <x:v>11402.276400000002</x:v>
      </x:c>
      <x:c r="X11" s="2" t="n">
        <x:f>X9*Cardapio!$D$19*Premissas!$D$26+X49</x:f>
        <x:v>11402.276400000002</x:v>
      </x:c>
      <x:c r="Y11" s="2" t="n">
        <x:f>Y9*Cardapio!$D$19*Premissas!$D$26+Y49</x:f>
        <x:v>11402.276400000002</x:v>
      </x:c>
      <x:c r="Z11" s="2" t="n">
        <x:f>Z9*Cardapio!$D$19*Premissas!$D$26+Z49</x:f>
        <x:v>11402.276400000002</x:v>
      </x:c>
      <x:c r="AA11" s="2" t="n">
        <x:f>AA9*Cardapio!$D$19*Premissas!$D$26+AA49</x:f>
        <x:v>11402.276400000002</x:v>
      </x:c>
      <x:c r="AB11" s="2" t="n">
        <x:f>AB9*Cardapio!$D$19*Premissas!$D$26+AB49</x:f>
        <x:v>11402.276400000002</x:v>
      </x:c>
      <x:c r="AC11" s="2" t="n">
        <x:f>AC9*Cardapio!$D$19*Premissas!$D$26+AC49</x:f>
        <x:v>11402.276400000002</x:v>
      </x:c>
      <x:c r="AD11" s="2" t="n">
        <x:f>AD9*Cardapio!$D$19*Premissas!$D$26+AD49</x:f>
        <x:v>11402.276400000002</x:v>
      </x:c>
      <x:c r="AE11" s="2" t="n">
        <x:f>AE9*Cardapio!$D$19*Premissas!$D$26+AE49</x:f>
        <x:v>11402.276400000002</x:v>
      </x:c>
      <x:c r="AF11" s="2" t="n">
        <x:f>AF9*Cardapio!$D$19*Premissas!$D$26+AF49</x:f>
        <x:v>11402.276400000002</x:v>
      </x:c>
      <x:c r="AG11" s="2" t="n">
        <x:f>AG9*Cardapio!$D$19*Premissas!$D$26+AG49</x:f>
        <x:v>11402.276400000002</x:v>
      </x:c>
      <x:c r="AH11" s="2" t="n">
        <x:f>AH9*Cardapio!$D$19*Premissas!$D$26+AH49</x:f>
        <x:v>11402.276400000002</x:v>
      </x:c>
      <x:c r="AI11" s="2" t="n">
        <x:f>AI9*Cardapio!$D$19*Premissas!$D$26+AI49</x:f>
        <x:v>11402.276400000002</x:v>
      </x:c>
      <x:c r="AJ11" s="2" t="n">
        <x:f>AJ9*Cardapio!$D$19*Premissas!$D$26+AJ49</x:f>
        <x:v>11402.276400000002</x:v>
      </x:c>
      <x:c r="AK11" s="2" t="n">
        <x:f>AK9*Cardapio!$D$19*Premissas!$D$26+AK49</x:f>
        <x:v>11402.276400000002</x:v>
      </x:c>
      <x:c r="AL11" s="2" t="n">
        <x:f>AL9*Cardapio!$D$19*Premissas!$D$26+AL49</x:f>
        <x:v>11402.276400000002</x:v>
      </x:c>
      <x:c r="AM11" s="2" t="n">
        <x:f>AM9*Cardapio!$D$19*Premissas!$D$26+AM49</x:f>
        <x:v>11402.276400000002</x:v>
      </x:c>
    </x:row>
    <x:row r="12" ht="24" customHeight="1">
      <x:c r="A12" s="1"/>
      <x:c r="B12" s="1"/>
      <x:c r="C12" s="1" t="str">
        <x:v>Tributos</x:v>
      </x:c>
      <x:c r="D12" s="2" t="n">
        <x:f>D10*Premissas!$D$8</x:f>
        <x:v>990.3465000000001</x:v>
      </x:c>
      <x:c r="E12" s="2" t="n">
        <x:f>E10*Premissas!$D$8</x:f>
        <x:v>1260.4409999999996</x:v>
      </x:c>
      <x:c r="F12" s="2" t="n">
        <x:f>F10*Premissas!$D$8</x:f>
        <x:v>1530.5355</x:v>
      </x:c>
      <x:c r="G12" s="2" t="n">
        <x:f>G10*Premissas!$D$8</x:f>
        <x:v>1872.6552</x:v>
      </x:c>
      <x:c r="H12" s="2" t="n">
        <x:f>H10*Premissas!$D$8</x:f>
        <x:v>1872.6552</x:v>
      </x:c>
      <x:c r="I12" s="2" t="n">
        <x:f>I10*Premissas!$D$8</x:f>
        <x:v>1872.6552</x:v>
      </x:c>
      <x:c r="J12" s="2" t="n">
        <x:f>J10*Premissas!$D$8</x:f>
        <x:v>1872.6552</x:v>
      </x:c>
      <x:c r="K12" s="2" t="n">
        <x:f>K10*Premissas!$D$8</x:f>
        <x:v>1872.6552</x:v>
      </x:c>
      <x:c r="L12" s="2" t="n">
        <x:f>L10*Premissas!$D$8</x:f>
        <x:v>1872.6552</x:v>
      </x:c>
      <x:c r="M12" s="2" t="n">
        <x:f>M10*Premissas!$D$8</x:f>
        <x:v>1872.6552</x:v>
      </x:c>
      <x:c r="N12" s="2" t="n">
        <x:f>N10*Premissas!$D$8</x:f>
        <x:v>1872.6552</x:v>
      </x:c>
      <x:c r="O12" s="2" t="n">
        <x:f>O10*Premissas!$D$8</x:f>
        <x:v>1872.6552</x:v>
      </x:c>
      <x:c r="P12" s="2" t="n">
        <x:f>P10*Premissas!$D$8</x:f>
        <x:v>1872.6552</x:v>
      </x:c>
      <x:c r="Q12" s="2" t="n">
        <x:f>Q10*Premissas!$D$8</x:f>
        <x:v>1872.6552</x:v>
      </x:c>
      <x:c r="R12" s="2" t="n">
        <x:f>R10*Premissas!$D$8</x:f>
        <x:v>1872.6552</x:v>
      </x:c>
      <x:c r="S12" s="2" t="n">
        <x:f>S10*Premissas!$D$8</x:f>
        <x:v>1872.6552</x:v>
      </x:c>
      <x:c r="T12" s="2" t="n">
        <x:f>T10*Premissas!$D$8</x:f>
        <x:v>1872.6552</x:v>
      </x:c>
      <x:c r="U12" s="2" t="n">
        <x:f>U10*Premissas!$D$8</x:f>
        <x:v>1872.6552</x:v>
      </x:c>
      <x:c r="V12" s="2" t="n">
        <x:f>V10*Premissas!$D$8</x:f>
        <x:v>1872.6552</x:v>
      </x:c>
      <x:c r="W12" s="2" t="n">
        <x:f>W10*Premissas!$D$8</x:f>
        <x:v>1872.6552</x:v>
      </x:c>
      <x:c r="X12" s="2" t="n">
        <x:f>X10*Premissas!$D$8</x:f>
        <x:v>1872.6552</x:v>
      </x:c>
      <x:c r="Y12" s="2" t="n">
        <x:f>Y10*Premissas!$D$8</x:f>
        <x:v>1872.6552</x:v>
      </x:c>
      <x:c r="Z12" s="2" t="n">
        <x:f>Z10*Premissas!$D$8</x:f>
        <x:v>1872.6552</x:v>
      </x:c>
      <x:c r="AA12" s="2" t="n">
        <x:f>AA10*Premissas!$D$8</x:f>
        <x:v>1872.6552</x:v>
      </x:c>
      <x:c r="AB12" s="2" t="n">
        <x:f>AB10*Premissas!$D$8</x:f>
        <x:v>1872.6552</x:v>
      </x:c>
      <x:c r="AC12" s="2" t="n">
        <x:f>AC10*Premissas!$D$8</x:f>
        <x:v>1872.6552</x:v>
      </x:c>
      <x:c r="AD12" s="2" t="n">
        <x:f>AD10*Premissas!$D$8</x:f>
        <x:v>1872.6552</x:v>
      </x:c>
      <x:c r="AE12" s="2" t="n">
        <x:f>AE10*Premissas!$D$8</x:f>
        <x:v>1872.6552</x:v>
      </x:c>
      <x:c r="AF12" s="2" t="n">
        <x:f>AF10*Premissas!$D$8</x:f>
        <x:v>1872.6552</x:v>
      </x:c>
      <x:c r="AG12" s="2" t="n">
        <x:f>AG10*Premissas!$D$8</x:f>
        <x:v>1872.6552</x:v>
      </x:c>
      <x:c r="AH12" s="2" t="n">
        <x:f>AH10*Premissas!$D$8</x:f>
        <x:v>1872.6552</x:v>
      </x:c>
      <x:c r="AI12" s="2" t="n">
        <x:f>AI10*Premissas!$D$8</x:f>
        <x:v>1872.6552</x:v>
      </x:c>
      <x:c r="AJ12" s="2" t="n">
        <x:f>AJ10*Premissas!$D$8</x:f>
        <x:v>1872.6552</x:v>
      </x:c>
      <x:c r="AK12" s="2" t="n">
        <x:f>AK10*Premissas!$D$8</x:f>
        <x:v>1872.6552</x:v>
      </x:c>
      <x:c r="AL12" s="2" t="n">
        <x:f>AL10*Premissas!$D$8</x:f>
        <x:v>1872.6552</x:v>
      </x:c>
      <x:c r="AM12" s="2" t="n">
        <x:f>AM10*Premissas!$D$8</x:f>
        <x:v>1872.6552</x:v>
      </x:c>
    </x:row>
    <x:row r="13" ht="24" customHeight="1">
      <x:c r="A13" s="1"/>
      <x:c r="B13" s="1"/>
      <x:c r="C13" s="1" t="str">
        <x:v>Taxas</x:v>
      </x:c>
      <x:c r="D13" s="2" t="n">
        <x:f>D46+D48</x:f>
        <x:v>330.11550000000005</x:v>
      </x:c>
      <x:c r="E13" s="2" t="n">
        <x:f>E46+E48</x:f>
        <x:v>420.14699999999993</x:v>
      </x:c>
      <x:c r="F13" s="2" t="n">
        <x:f>F46+F48</x:f>
        <x:v>510.1785</x:v>
      </x:c>
      <x:c r="G13" s="2" t="n">
        <x:f>G46+G48</x:f>
        <x:v>2388.8358</x:v>
      </x:c>
      <x:c r="H13" s="2" t="n">
        <x:f>H46+H48</x:f>
        <x:v>2388.8358</x:v>
      </x:c>
      <x:c r="I13" s="2" t="n">
        <x:f>I46+I48</x:f>
        <x:v>2388.8358</x:v>
      </x:c>
      <x:c r="J13" s="2" t="n">
        <x:f>J46+J48</x:f>
        <x:v>2388.8358</x:v>
      </x:c>
      <x:c r="K13" s="2" t="n">
        <x:f>K46+K48</x:f>
        <x:v>2388.8358</x:v>
      </x:c>
      <x:c r="L13" s="2" t="n">
        <x:f>L46+L48</x:f>
        <x:v>2388.8358</x:v>
      </x:c>
      <x:c r="M13" s="2" t="n">
        <x:f>M46+M48</x:f>
        <x:v>2388.8358</x:v>
      </x:c>
      <x:c r="N13" s="2" t="n">
        <x:f>N46+N48</x:f>
        <x:v>2388.8358</x:v>
      </x:c>
      <x:c r="O13" s="2" t="n">
        <x:f>O46+O48</x:f>
        <x:v>2388.8358</x:v>
      </x:c>
      <x:c r="P13" s="2" t="n">
        <x:f>P46+P48</x:f>
        <x:v>2388.8358</x:v>
      </x:c>
      <x:c r="Q13" s="2" t="n">
        <x:f>Q46+Q48</x:f>
        <x:v>2388.8358</x:v>
      </x:c>
      <x:c r="R13" s="2" t="n">
        <x:f>R46+R48</x:f>
        <x:v>2388.8358</x:v>
      </x:c>
      <x:c r="S13" s="2" t="n">
        <x:f>S46+S48</x:f>
        <x:v>2388.8358</x:v>
      </x:c>
      <x:c r="T13" s="2" t="n">
        <x:f>T46+T48</x:f>
        <x:v>2388.8358</x:v>
      </x:c>
      <x:c r="U13" s="2" t="n">
        <x:f>U46+U48</x:f>
        <x:v>2388.8358</x:v>
      </x:c>
      <x:c r="V13" s="2" t="n">
        <x:f>V46+V48</x:f>
        <x:v>2388.8358</x:v>
      </x:c>
      <x:c r="W13" s="2" t="n">
        <x:f>W46+W48</x:f>
        <x:v>2388.8358</x:v>
      </x:c>
      <x:c r="X13" s="2" t="n">
        <x:f>X46+X48</x:f>
        <x:v>2388.8358</x:v>
      </x:c>
      <x:c r="Y13" s="2" t="n">
        <x:f>Y46+Y48</x:f>
        <x:v>2388.8358</x:v>
      </x:c>
      <x:c r="Z13" s="2" t="n">
        <x:f>Z46+Z48</x:f>
        <x:v>2388.8358</x:v>
      </x:c>
      <x:c r="AA13" s="2" t="n">
        <x:f>AA46+AA48</x:f>
        <x:v>2388.8358</x:v>
      </x:c>
      <x:c r="AB13" s="2" t="n">
        <x:f>AB46+AB48</x:f>
        <x:v>2388.8358</x:v>
      </x:c>
      <x:c r="AC13" s="2" t="n">
        <x:f>AC46+AC48</x:f>
        <x:v>2388.8358</x:v>
      </x:c>
      <x:c r="AD13" s="2" t="n">
        <x:f>AD46+AD48</x:f>
        <x:v>2388.8358</x:v>
      </x:c>
      <x:c r="AE13" s="2" t="n">
        <x:f>AE46+AE48</x:f>
        <x:v>2388.8358</x:v>
      </x:c>
      <x:c r="AF13" s="2" t="n">
        <x:f>AF46+AF48</x:f>
        <x:v>2388.8358</x:v>
      </x:c>
      <x:c r="AG13" s="2" t="n">
        <x:f>AG46+AG48</x:f>
        <x:v>2388.8358</x:v>
      </x:c>
      <x:c r="AH13" s="2" t="n">
        <x:f>AH46+AH48</x:f>
        <x:v>2388.8358</x:v>
      </x:c>
      <x:c r="AI13" s="2" t="n">
        <x:f>AI46+AI48</x:f>
        <x:v>2388.8358</x:v>
      </x:c>
      <x:c r="AJ13" s="2" t="n">
        <x:f>AJ46+AJ48</x:f>
        <x:v>2388.8358</x:v>
      </x:c>
      <x:c r="AK13" s="2" t="n">
        <x:f>AK46+AK48</x:f>
        <x:v>2388.8358</x:v>
      </x:c>
      <x:c r="AL13" s="2" t="n">
        <x:f>AL46+AL48</x:f>
        <x:v>2388.8358</x:v>
      </x:c>
      <x:c r="AM13" s="2" t="n">
        <x:f>AM46+AM48</x:f>
        <x:v>2388.8358</x:v>
      </x:c>
    </x:row>
    <x:row r="14" ht="24" customHeight="1">
      <x:c r="A14" s="1"/>
      <x:c r="B14" s="1"/>
      <x:c r="C14" s="1" t="str">
        <x:v>Perdas</x:v>
      </x:c>
      <x:c r="D14" s="2" t="n">
        <x:f>D10*Premissas!$D$10+D50</x:f>
        <x:v>330.11550000000005</x:v>
      </x:c>
      <x:c r="E14" s="2" t="n">
        <x:f>E10*Premissas!$D$10+E50</x:f>
        <x:v>420.14699999999993</x:v>
      </x:c>
      <x:c r="F14" s="2" t="n">
        <x:f>F10*Premissas!$D$10+F50</x:f>
        <x:v>510.1785</x:v>
      </x:c>
      <x:c r="G14" s="2" t="n">
        <x:f>G10*Premissas!$D$10+G50</x:f>
        <x:v>624.2184</x:v>
      </x:c>
      <x:c r="H14" s="2" t="n">
        <x:f>H10*Premissas!$D$10+H50</x:f>
        <x:v>624.2184</x:v>
      </x:c>
      <x:c r="I14" s="2" t="n">
        <x:f>I10*Premissas!$D$10+I50</x:f>
        <x:v>624.2184</x:v>
      </x:c>
      <x:c r="J14" s="2" t="n">
        <x:f>J10*Premissas!$D$10+J50</x:f>
        <x:v>624.2184</x:v>
      </x:c>
      <x:c r="K14" s="2" t="n">
        <x:f>K10*Premissas!$D$10+K50</x:f>
        <x:v>624.2184</x:v>
      </x:c>
      <x:c r="L14" s="2" t="n">
        <x:f>L10*Premissas!$D$10+L50</x:f>
        <x:v>624.2184</x:v>
      </x:c>
      <x:c r="M14" s="2" t="n">
        <x:f>M10*Premissas!$D$10+M50</x:f>
        <x:v>624.2184</x:v>
      </x:c>
      <x:c r="N14" s="2" t="n">
        <x:f>N10*Premissas!$D$10+N50</x:f>
        <x:v>624.2184</x:v>
      </x:c>
      <x:c r="O14" s="2" t="n">
        <x:f>O10*Premissas!$D$10+O50</x:f>
        <x:v>624.2184</x:v>
      </x:c>
      <x:c r="P14" s="2" t="n">
        <x:f>P10*Premissas!$D$10+P50</x:f>
        <x:v>624.2184</x:v>
      </x:c>
      <x:c r="Q14" s="2" t="n">
        <x:f>Q10*Premissas!$D$10+Q50</x:f>
        <x:v>624.2184</x:v>
      </x:c>
      <x:c r="R14" s="2" t="n">
        <x:f>R10*Premissas!$D$10+R50</x:f>
        <x:v>624.2184</x:v>
      </x:c>
      <x:c r="S14" s="2" t="n">
        <x:f>S10*Premissas!$D$10+S50</x:f>
        <x:v>624.2184</x:v>
      </x:c>
      <x:c r="T14" s="2" t="n">
        <x:f>T10*Premissas!$D$10+T50</x:f>
        <x:v>624.2184</x:v>
      </x:c>
      <x:c r="U14" s="2" t="n">
        <x:f>U10*Premissas!$D$10+U50</x:f>
        <x:v>624.2184</x:v>
      </x:c>
      <x:c r="V14" s="2" t="n">
        <x:f>V10*Premissas!$D$10+V50</x:f>
        <x:v>624.2184</x:v>
      </x:c>
      <x:c r="W14" s="2" t="n">
        <x:f>W10*Premissas!$D$10+W50</x:f>
        <x:v>624.2184</x:v>
      </x:c>
      <x:c r="X14" s="2" t="n">
        <x:f>X10*Premissas!$D$10+X50</x:f>
        <x:v>624.2184</x:v>
      </x:c>
      <x:c r="Y14" s="2" t="n">
        <x:f>Y10*Premissas!$D$10+Y50</x:f>
        <x:v>624.2184</x:v>
      </x:c>
      <x:c r="Z14" s="2" t="n">
        <x:f>Z10*Premissas!$D$10+Z50</x:f>
        <x:v>624.2184</x:v>
      </x:c>
      <x:c r="AA14" s="2" t="n">
        <x:f>AA10*Premissas!$D$10+AA50</x:f>
        <x:v>624.2184</x:v>
      </x:c>
      <x:c r="AB14" s="2" t="n">
        <x:f>AB10*Premissas!$D$10+AB50</x:f>
        <x:v>624.2184</x:v>
      </x:c>
      <x:c r="AC14" s="2" t="n">
        <x:f>AC10*Premissas!$D$10+AC50</x:f>
        <x:v>624.2184</x:v>
      </x:c>
      <x:c r="AD14" s="2" t="n">
        <x:f>AD10*Premissas!$D$10+AD50</x:f>
        <x:v>624.2184</x:v>
      </x:c>
      <x:c r="AE14" s="2" t="n">
        <x:f>AE10*Premissas!$D$10+AE50</x:f>
        <x:v>624.2184</x:v>
      </x:c>
      <x:c r="AF14" s="2" t="n">
        <x:f>AF10*Premissas!$D$10+AF50</x:f>
        <x:v>624.2184</x:v>
      </x:c>
      <x:c r="AG14" s="2" t="n">
        <x:f>AG10*Premissas!$D$10+AG50</x:f>
        <x:v>624.2184</x:v>
      </x:c>
      <x:c r="AH14" s="2" t="n">
        <x:f>AH10*Premissas!$D$10+AH50</x:f>
        <x:v>624.2184</x:v>
      </x:c>
      <x:c r="AI14" s="2" t="n">
        <x:f>AI10*Premissas!$D$10+AI50</x:f>
        <x:v>624.2184</x:v>
      </x:c>
      <x:c r="AJ14" s="2" t="n">
        <x:f>AJ10*Premissas!$D$10+AJ50</x:f>
        <x:v>624.2184</x:v>
      </x:c>
      <x:c r="AK14" s="2" t="n">
        <x:f>AK10*Premissas!$D$10+AK50</x:f>
        <x:v>624.2184</x:v>
      </x:c>
      <x:c r="AL14" s="2" t="n">
        <x:f>AL10*Premissas!$D$10+AL50</x:f>
        <x:v>624.2184</x:v>
      </x:c>
      <x:c r="AM14" s="2" t="n">
        <x:f>AM10*Premissas!$D$10+AM50</x:f>
        <x:v>624.2184</x:v>
      </x:c>
    </x:row>
    <x:row r="15" ht="28" customHeight="1">
      <x:c r="A15" s="1"/>
      <x:c r="B15" s="1"/>
      <x:c r="C15" s="6" t="str">
        <x:v>Margem de contribuição</x:v>
      </x:c>
      <x:c r="D15" s="7" t="n">
        <x:f>D10-SUM(D11:D14)</x:f>
        <x:v>8776.99548</x:v>
      </x:c>
      <x:c r="E15" s="7" t="n">
        <x:f>E10-SUM(E11:E14)</x:f>
        <x:v>11170.721519999996</x:v>
      </x:c>
      <x:c r="F15" s="7" t="n">
        <x:f>F10-SUM(F11:F14)</x:f>
        <x:v>13564.447559999997</x:v>
      </x:c>
      <x:c r="G15" s="7" t="n">
        <x:f>G10-SUM(G11:G14)</x:f>
        <x:v>14922.934199999998</x:v>
      </x:c>
      <x:c r="H15" s="7" t="n">
        <x:f>H10-SUM(H11:H14)</x:f>
        <x:v>14922.934199999998</x:v>
      </x:c>
      <x:c r="I15" s="7" t="n">
        <x:f>I10-SUM(I11:I14)</x:f>
        <x:v>14922.934199999998</x:v>
      </x:c>
      <x:c r="J15" s="7" t="n">
        <x:f>J10-SUM(J11:J14)</x:f>
        <x:v>14922.934199999998</x:v>
      </x:c>
      <x:c r="K15" s="7" t="n">
        <x:f>K10-SUM(K11:K14)</x:f>
        <x:v>14922.934199999998</x:v>
      </x:c>
      <x:c r="L15" s="7" t="n">
        <x:f>L10-SUM(L11:L14)</x:f>
        <x:v>14922.934199999998</x:v>
      </x:c>
      <x:c r="M15" s="7" t="n">
        <x:f>M10-SUM(M11:M14)</x:f>
        <x:v>14922.934199999998</x:v>
      </x:c>
      <x:c r="N15" s="7" t="n">
        <x:f>N10-SUM(N11:N14)</x:f>
        <x:v>14922.934199999998</x:v>
      </x:c>
      <x:c r="O15" s="7" t="n">
        <x:f>O10-SUM(O11:O14)</x:f>
        <x:v>14922.934199999998</x:v>
      </x:c>
      <x:c r="P15" s="7" t="n">
        <x:f>P10-SUM(P11:P14)</x:f>
        <x:v>14922.934199999998</x:v>
      </x:c>
      <x:c r="Q15" s="7" t="n">
        <x:f>Q10-SUM(Q11:Q14)</x:f>
        <x:v>14922.934199999998</x:v>
      </x:c>
      <x:c r="R15" s="7" t="n">
        <x:f>R10-SUM(R11:R14)</x:f>
        <x:v>14922.934199999998</x:v>
      </x:c>
      <x:c r="S15" s="7" t="n">
        <x:f>S10-SUM(S11:S14)</x:f>
        <x:v>14922.934199999998</x:v>
      </x:c>
      <x:c r="T15" s="7" t="n">
        <x:f>T10-SUM(T11:T14)</x:f>
        <x:v>14922.934199999998</x:v>
      </x:c>
      <x:c r="U15" s="7" t="n">
        <x:f>U10-SUM(U11:U14)</x:f>
        <x:v>14922.934199999998</x:v>
      </x:c>
      <x:c r="V15" s="7" t="n">
        <x:f>V10-SUM(V11:V14)</x:f>
        <x:v>14922.934199999998</x:v>
      </x:c>
      <x:c r="W15" s="7" t="n">
        <x:f>W10-SUM(W11:W14)</x:f>
        <x:v>14922.934199999998</x:v>
      </x:c>
      <x:c r="X15" s="7" t="n">
        <x:f>X10-SUM(X11:X14)</x:f>
        <x:v>14922.934199999998</x:v>
      </x:c>
      <x:c r="Y15" s="7" t="n">
        <x:f>Y10-SUM(Y11:Y14)</x:f>
        <x:v>14922.934199999998</x:v>
      </x:c>
      <x:c r="Z15" s="7" t="n">
        <x:f>Z10-SUM(Z11:Z14)</x:f>
        <x:v>14922.934199999998</x:v>
      </x:c>
      <x:c r="AA15" s="7" t="n">
        <x:f>AA10-SUM(AA11:AA14)</x:f>
        <x:v>14922.934199999998</x:v>
      </x:c>
      <x:c r="AB15" s="7" t="n">
        <x:f>AB10-SUM(AB11:AB14)</x:f>
        <x:v>14922.934199999998</x:v>
      </x:c>
      <x:c r="AC15" s="7" t="n">
        <x:f>AC10-SUM(AC11:AC14)</x:f>
        <x:v>14922.934199999998</x:v>
      </x:c>
      <x:c r="AD15" s="7" t="n">
        <x:f>AD10-SUM(AD11:AD14)</x:f>
        <x:v>14922.934199999998</x:v>
      </x:c>
      <x:c r="AE15" s="7" t="n">
        <x:f>AE10-SUM(AE11:AE14)</x:f>
        <x:v>14922.934199999998</x:v>
      </x:c>
      <x:c r="AF15" s="7" t="n">
        <x:f>AF10-SUM(AF11:AF14)</x:f>
        <x:v>14922.934199999998</x:v>
      </x:c>
      <x:c r="AG15" s="7" t="n">
        <x:f>AG10-SUM(AG11:AG14)</x:f>
        <x:v>14922.934199999998</x:v>
      </x:c>
      <x:c r="AH15" s="7" t="n">
        <x:f>AH10-SUM(AH11:AH14)</x:f>
        <x:v>14922.934199999998</x:v>
      </x:c>
      <x:c r="AI15" s="7" t="n">
        <x:f>AI10-SUM(AI11:AI14)</x:f>
        <x:v>14922.934199999998</x:v>
      </x:c>
      <x:c r="AJ15" s="7" t="n">
        <x:f>AJ10-SUM(AJ11:AJ14)</x:f>
        <x:v>14922.934199999998</x:v>
      </x:c>
      <x:c r="AK15" s="7" t="n">
        <x:f>AK10-SUM(AK11:AK14)</x:f>
        <x:v>14922.934199999998</x:v>
      </x:c>
      <x:c r="AL15" s="7" t="n">
        <x:f>AL10-SUM(AL11:AL14)</x:f>
        <x:v>14922.934199999998</x:v>
      </x:c>
      <x:c r="AM15" s="7" t="n">
        <x:f>AM10-SUM(AM11:AM14)</x:f>
        <x:v>14922.934199999998</x:v>
      </x:c>
    </x:row>
    <x:row r="16" ht="24" customHeight="1">
      <x:c r="A16" s="1"/>
      <x:c r="B16" s="1"/>
      <x:c r="C16" s="1" t="str">
        <x:v>Despesas fixas com pró-labore</x:v>
      </x:c>
      <x:c r="D16" s="2" t="n">
        <x:f>Premissas!$D$41+D47</x:f>
        <x:v>9650</x:v>
      </x:c>
      <x:c r="E16" s="2" t="n">
        <x:f>Premissas!$D$41+E47</x:f>
        <x:v>9650</x:v>
      </x:c>
      <x:c r="F16" s="2" t="n">
        <x:f>Premissas!$D$41+F47</x:f>
        <x:v>9650</x:v>
      </x:c>
      <x:c r="G16" s="2" t="n">
        <x:f>Premissas!$D$41+G47</x:f>
        <x:v>9800</x:v>
      </x:c>
      <x:c r="H16" s="2" t="n">
        <x:f>Premissas!$D$41+H47</x:f>
        <x:v>9800</x:v>
      </x:c>
      <x:c r="I16" s="2" t="n">
        <x:f>Premissas!$D$41+I47</x:f>
        <x:v>9800</x:v>
      </x:c>
      <x:c r="J16" s="2" t="n">
        <x:f>Premissas!$D$41+J47</x:f>
        <x:v>9800</x:v>
      </x:c>
      <x:c r="K16" s="2" t="n">
        <x:f>Premissas!$D$41+K47</x:f>
        <x:v>9800</x:v>
      </x:c>
      <x:c r="L16" s="2" t="n">
        <x:f>Premissas!$D$41+L47</x:f>
        <x:v>9800</x:v>
      </x:c>
      <x:c r="M16" s="2" t="n">
        <x:f>Premissas!$D$41+M47</x:f>
        <x:v>9800</x:v>
      </x:c>
      <x:c r="N16" s="2" t="n">
        <x:f>Premissas!$D$41+N47</x:f>
        <x:v>9800</x:v>
      </x:c>
      <x:c r="O16" s="2" t="n">
        <x:f>Premissas!$D$41+O47</x:f>
        <x:v>9800</x:v>
      </x:c>
      <x:c r="P16" s="2" t="n">
        <x:f>Premissas!$D$41+P47</x:f>
        <x:v>9800</x:v>
      </x:c>
      <x:c r="Q16" s="2" t="n">
        <x:f>Premissas!$D$41+Q47</x:f>
        <x:v>9800</x:v>
      </x:c>
      <x:c r="R16" s="2" t="n">
        <x:f>Premissas!$D$41+R47</x:f>
        <x:v>9800</x:v>
      </x:c>
      <x:c r="S16" s="2" t="n">
        <x:f>Premissas!$D$41+S47</x:f>
        <x:v>9800</x:v>
      </x:c>
      <x:c r="T16" s="2" t="n">
        <x:f>Premissas!$D$41+T47</x:f>
        <x:v>9800</x:v>
      </x:c>
      <x:c r="U16" s="2" t="n">
        <x:f>Premissas!$D$41+U47</x:f>
        <x:v>9800</x:v>
      </x:c>
      <x:c r="V16" s="2" t="n">
        <x:f>Premissas!$D$41+V47</x:f>
        <x:v>9800</x:v>
      </x:c>
      <x:c r="W16" s="2" t="n">
        <x:f>Premissas!$D$41+W47</x:f>
        <x:v>9800</x:v>
      </x:c>
      <x:c r="X16" s="2" t="n">
        <x:f>Premissas!$D$41+X47</x:f>
        <x:v>9800</x:v>
      </x:c>
      <x:c r="Y16" s="2" t="n">
        <x:f>Premissas!$D$41+Y47</x:f>
        <x:v>9800</x:v>
      </x:c>
      <x:c r="Z16" s="2" t="n">
        <x:f>Premissas!$D$41+Z47</x:f>
        <x:v>9800</x:v>
      </x:c>
      <x:c r="AA16" s="2" t="n">
        <x:f>Premissas!$D$41+AA47</x:f>
        <x:v>9800</x:v>
      </x:c>
      <x:c r="AB16" s="2" t="n">
        <x:f>Premissas!$D$41+AB47</x:f>
        <x:v>9800</x:v>
      </x:c>
      <x:c r="AC16" s="2" t="n">
        <x:f>Premissas!$D$41+AC47</x:f>
        <x:v>9800</x:v>
      </x:c>
      <x:c r="AD16" s="2" t="n">
        <x:f>Premissas!$D$41+AD47</x:f>
        <x:v>9800</x:v>
      </x:c>
      <x:c r="AE16" s="2" t="n">
        <x:f>Premissas!$D$41+AE47</x:f>
        <x:v>9800</x:v>
      </x:c>
      <x:c r="AF16" s="2" t="n">
        <x:f>Premissas!$D$41+AF47</x:f>
        <x:v>9800</x:v>
      </x:c>
      <x:c r="AG16" s="2" t="n">
        <x:f>Premissas!$D$41+AG47</x:f>
        <x:v>9800</x:v>
      </x:c>
      <x:c r="AH16" s="2" t="n">
        <x:f>Premissas!$D$41+AH47</x:f>
        <x:v>9800</x:v>
      </x:c>
      <x:c r="AI16" s="2" t="n">
        <x:f>Premissas!$D$41+AI47</x:f>
        <x:v>9800</x:v>
      </x:c>
      <x:c r="AJ16" s="2" t="n">
        <x:f>Premissas!$D$41+AJ47</x:f>
        <x:v>9800</x:v>
      </x:c>
      <x:c r="AK16" s="2" t="n">
        <x:f>Premissas!$D$41+AK47</x:f>
        <x:v>9800</x:v>
      </x:c>
      <x:c r="AL16" s="2" t="n">
        <x:f>Premissas!$D$41+AL47</x:f>
        <x:v>9800</x:v>
      </x:c>
      <x:c r="AM16" s="2" t="n">
        <x:f>Premissas!$D$41+AM47</x:f>
        <x:v>9800</x:v>
      </x:c>
    </x:row>
    <x:row r="17" ht="28" customHeight="1">
      <x:c r="A17" s="1"/>
      <x:c r="B17" s="1"/>
      <x:c r="C17" s="6" t="str">
        <x:v>Resultado operacional</x:v>
      </x:c>
      <x:c r="D17" s="7" t="n">
        <x:f>D15-D16</x:f>
        <x:v>-873.0045200000004</x:v>
      </x:c>
      <x:c r="E17" s="7" t="n">
        <x:f>E15-E16</x:f>
        <x:v>1520.7215199999955</x:v>
      </x:c>
      <x:c r="F17" s="7" t="n">
        <x:f>F15-F16</x:f>
        <x:v>3914.447559999997</x:v>
      </x:c>
      <x:c r="G17" s="7" t="n">
        <x:f>G15-G16</x:f>
        <x:v>5122.934199999998</x:v>
      </x:c>
      <x:c r="H17" s="7" t="n">
        <x:f>H15-H16</x:f>
        <x:v>5122.934199999998</x:v>
      </x:c>
      <x:c r="I17" s="7" t="n">
        <x:f>I15-I16</x:f>
        <x:v>5122.934199999998</x:v>
      </x:c>
      <x:c r="J17" s="7" t="n">
        <x:f>J15-J16</x:f>
        <x:v>5122.934199999998</x:v>
      </x:c>
      <x:c r="K17" s="7" t="n">
        <x:f>K15-K16</x:f>
        <x:v>5122.934199999998</x:v>
      </x:c>
      <x:c r="L17" s="7" t="n">
        <x:f>L15-L16</x:f>
        <x:v>5122.934199999998</x:v>
      </x:c>
      <x:c r="M17" s="7" t="n">
        <x:f>M15-M16</x:f>
        <x:v>5122.934199999998</x:v>
      </x:c>
      <x:c r="N17" s="7" t="n">
        <x:f>N15-N16</x:f>
        <x:v>5122.934199999998</x:v>
      </x:c>
      <x:c r="O17" s="7" t="n">
        <x:f>O15-O16</x:f>
        <x:v>5122.934199999998</x:v>
      </x:c>
      <x:c r="P17" s="7" t="n">
        <x:f>P15-P16</x:f>
        <x:v>5122.934199999998</x:v>
      </x:c>
      <x:c r="Q17" s="7" t="n">
        <x:f>Q15-Q16</x:f>
        <x:v>5122.934199999998</x:v>
      </x:c>
      <x:c r="R17" s="7" t="n">
        <x:f>R15-R16</x:f>
        <x:v>5122.934199999998</x:v>
      </x:c>
      <x:c r="S17" s="7" t="n">
        <x:f>S15-S16</x:f>
        <x:v>5122.934199999998</x:v>
      </x:c>
      <x:c r="T17" s="7" t="n">
        <x:f>T15-T16</x:f>
        <x:v>5122.934199999998</x:v>
      </x:c>
      <x:c r="U17" s="7" t="n">
        <x:f>U15-U16</x:f>
        <x:v>5122.934199999998</x:v>
      </x:c>
      <x:c r="V17" s="7" t="n">
        <x:f>V15-V16</x:f>
        <x:v>5122.934199999998</x:v>
      </x:c>
      <x:c r="W17" s="7" t="n">
        <x:f>W15-W16</x:f>
        <x:v>5122.934199999998</x:v>
      </x:c>
      <x:c r="X17" s="7" t="n">
        <x:f>X15-X16</x:f>
        <x:v>5122.934199999998</x:v>
      </x:c>
      <x:c r="Y17" s="7" t="n">
        <x:f>Y15-Y16</x:f>
        <x:v>5122.934199999998</x:v>
      </x:c>
      <x:c r="Z17" s="7" t="n">
        <x:f>Z15-Z16</x:f>
        <x:v>5122.934199999998</x:v>
      </x:c>
      <x:c r="AA17" s="7" t="n">
        <x:f>AA15-AA16</x:f>
        <x:v>5122.934199999998</x:v>
      </x:c>
      <x:c r="AB17" s="7" t="n">
        <x:f>AB15-AB16</x:f>
        <x:v>5122.934199999998</x:v>
      </x:c>
      <x:c r="AC17" s="7" t="n">
        <x:f>AC15-AC16</x:f>
        <x:v>5122.934199999998</x:v>
      </x:c>
      <x:c r="AD17" s="7" t="n">
        <x:f>AD15-AD16</x:f>
        <x:v>5122.934199999998</x:v>
      </x:c>
      <x:c r="AE17" s="7" t="n">
        <x:f>AE15-AE16</x:f>
        <x:v>5122.934199999998</x:v>
      </x:c>
      <x:c r="AF17" s="7" t="n">
        <x:f>AF15-AF16</x:f>
        <x:v>5122.934199999998</x:v>
      </x:c>
      <x:c r="AG17" s="7" t="n">
        <x:f>AG15-AG16</x:f>
        <x:v>5122.934199999998</x:v>
      </x:c>
      <x:c r="AH17" s="7" t="n">
        <x:f>AH15-AH16</x:f>
        <x:v>5122.934199999998</x:v>
      </x:c>
      <x:c r="AI17" s="7" t="n">
        <x:f>AI15-AI16</x:f>
        <x:v>5122.934199999998</x:v>
      </x:c>
      <x:c r="AJ17" s="7" t="n">
        <x:f>AJ15-AJ16</x:f>
        <x:v>5122.934199999998</x:v>
      </x:c>
      <x:c r="AK17" s="7" t="n">
        <x:f>AK15-AK16</x:f>
        <x:v>5122.934199999998</x:v>
      </x:c>
      <x:c r="AL17" s="7" t="n">
        <x:f>AL15-AL16</x:f>
        <x:v>5122.934199999998</x:v>
      </x:c>
      <x:c r="AM17" s="7" t="n">
        <x:f>AM15-AM16</x:f>
        <x:v>5122.934199999998</x:v>
      </x:c>
    </x:row>
    <x:row r="18" ht="24" customHeight="1">
      <x:c r="A18" s="1"/>
      <x:c r="B18" s="1"/>
      <x:c r="C18" s="1" t="str">
        <x:v>Reserva para reposições</x:v>
      </x:c>
      <x:c r="D18" s="2" t="n">
        <x:f>D10*Premissas!$D$11</x:f>
        <x:v>165.05775000000003</x:v>
      </x:c>
      <x:c r="E18" s="2" t="n">
        <x:f>E10*Premissas!$D$11</x:f>
        <x:v>210.07349999999997</x:v>
      </x:c>
      <x:c r="F18" s="2" t="n">
        <x:f>F10*Premissas!$D$11</x:f>
        <x:v>255.08925</x:v>
      </x:c>
      <x:c r="G18" s="2" t="n">
        <x:f>G10*Premissas!$D$11</x:f>
        <x:v>312.1092</x:v>
      </x:c>
      <x:c r="H18" s="2" t="n">
        <x:f>H10*Premissas!$D$11</x:f>
        <x:v>312.1092</x:v>
      </x:c>
      <x:c r="I18" s="2" t="n">
        <x:f>I10*Premissas!$D$11</x:f>
        <x:v>312.1092</x:v>
      </x:c>
      <x:c r="J18" s="2" t="n">
        <x:f>J10*Premissas!$D$11</x:f>
        <x:v>312.1092</x:v>
      </x:c>
      <x:c r="K18" s="2" t="n">
        <x:f>K10*Premissas!$D$11</x:f>
        <x:v>312.1092</x:v>
      </x:c>
      <x:c r="L18" s="2" t="n">
        <x:f>L10*Premissas!$D$11</x:f>
        <x:v>312.1092</x:v>
      </x:c>
      <x:c r="M18" s="2" t="n">
        <x:f>M10*Premissas!$D$11</x:f>
        <x:v>312.1092</x:v>
      </x:c>
      <x:c r="N18" s="2" t="n">
        <x:f>N10*Premissas!$D$11</x:f>
        <x:v>312.1092</x:v>
      </x:c>
      <x:c r="O18" s="2" t="n">
        <x:f>O10*Premissas!$D$11</x:f>
        <x:v>312.1092</x:v>
      </x:c>
      <x:c r="P18" s="2" t="n">
        <x:f>P10*Premissas!$D$11</x:f>
        <x:v>312.1092</x:v>
      </x:c>
      <x:c r="Q18" s="2" t="n">
        <x:f>Q10*Premissas!$D$11</x:f>
        <x:v>312.1092</x:v>
      </x:c>
      <x:c r="R18" s="2" t="n">
        <x:f>R10*Premissas!$D$11</x:f>
        <x:v>312.1092</x:v>
      </x:c>
      <x:c r="S18" s="2" t="n">
        <x:f>S10*Premissas!$D$11</x:f>
        <x:v>312.1092</x:v>
      </x:c>
      <x:c r="T18" s="2" t="n">
        <x:f>T10*Premissas!$D$11</x:f>
        <x:v>312.1092</x:v>
      </x:c>
      <x:c r="U18" s="2" t="n">
        <x:f>U10*Premissas!$D$11</x:f>
        <x:v>312.1092</x:v>
      </x:c>
      <x:c r="V18" s="2" t="n">
        <x:f>V10*Premissas!$D$11</x:f>
        <x:v>312.1092</x:v>
      </x:c>
      <x:c r="W18" s="2" t="n">
        <x:f>W10*Premissas!$D$11</x:f>
        <x:v>312.1092</x:v>
      </x:c>
      <x:c r="X18" s="2" t="n">
        <x:f>X10*Premissas!$D$11</x:f>
        <x:v>312.1092</x:v>
      </x:c>
      <x:c r="Y18" s="2" t="n">
        <x:f>Y10*Premissas!$D$11</x:f>
        <x:v>312.1092</x:v>
      </x:c>
      <x:c r="Z18" s="2" t="n">
        <x:f>Z10*Premissas!$D$11</x:f>
        <x:v>312.1092</x:v>
      </x:c>
      <x:c r="AA18" s="2" t="n">
        <x:f>AA10*Premissas!$D$11</x:f>
        <x:v>312.1092</x:v>
      </x:c>
      <x:c r="AB18" s="2" t="n">
        <x:f>AB10*Premissas!$D$11</x:f>
        <x:v>312.1092</x:v>
      </x:c>
      <x:c r="AC18" s="2" t="n">
        <x:f>AC10*Premissas!$D$11</x:f>
        <x:v>312.1092</x:v>
      </x:c>
      <x:c r="AD18" s="2" t="n">
        <x:f>AD10*Premissas!$D$11</x:f>
        <x:v>312.1092</x:v>
      </x:c>
      <x:c r="AE18" s="2" t="n">
        <x:f>AE10*Premissas!$D$11</x:f>
        <x:v>312.1092</x:v>
      </x:c>
      <x:c r="AF18" s="2" t="n">
        <x:f>AF10*Premissas!$D$11</x:f>
        <x:v>312.1092</x:v>
      </x:c>
      <x:c r="AG18" s="2" t="n">
        <x:f>AG10*Premissas!$D$11</x:f>
        <x:v>312.1092</x:v>
      </x:c>
      <x:c r="AH18" s="2" t="n">
        <x:f>AH10*Premissas!$D$11</x:f>
        <x:v>312.1092</x:v>
      </x:c>
      <x:c r="AI18" s="2" t="n">
        <x:f>AI10*Premissas!$D$11</x:f>
        <x:v>312.1092</x:v>
      </x:c>
      <x:c r="AJ18" s="2" t="n">
        <x:f>AJ10*Premissas!$D$11</x:f>
        <x:v>312.1092</x:v>
      </x:c>
      <x:c r="AK18" s="2" t="n">
        <x:f>AK10*Premissas!$D$11</x:f>
        <x:v>312.1092</x:v>
      </x:c>
      <x:c r="AL18" s="2" t="n">
        <x:f>AL10*Premissas!$D$11</x:f>
        <x:v>312.1092</x:v>
      </x:c>
      <x:c r="AM18" s="2" t="n">
        <x:f>AM10*Premissas!$D$11</x:f>
        <x:v>312.1092</x:v>
      </x:c>
    </x:row>
    <x:row r="19" ht="24" customHeight="1">
      <x:c r="A19" s="1"/>
      <x:c r="B19" s="1"/>
      <x:c r="C19" s="1" t="str">
        <x:v>Caixa antes do capital de giro</x:v>
      </x:c>
      <x:c r="D19" s="2" t="n">
        <x:f>D17-D18</x:f>
        <x:v>-1038.0622700000004</x:v>
      </x:c>
      <x:c r="E19" s="2" t="n">
        <x:f>E17-E18</x:f>
        <x:v>1310.6480199999955</x:v>
      </x:c>
      <x:c r="F19" s="2" t="n">
        <x:f>F17-F18</x:f>
        <x:v>3659.358309999997</x:v>
      </x:c>
      <x:c r="G19" s="2" t="n">
        <x:f>G17-G18</x:f>
        <x:v>4810.824999999998</x:v>
      </x:c>
      <x:c r="H19" s="2" t="n">
        <x:f>H17-H18</x:f>
        <x:v>4810.824999999998</x:v>
      </x:c>
      <x:c r="I19" s="2" t="n">
        <x:f>I17-I18</x:f>
        <x:v>4810.824999999998</x:v>
      </x:c>
      <x:c r="J19" s="2" t="n">
        <x:f>J17-J18</x:f>
        <x:v>4810.824999999998</x:v>
      </x:c>
      <x:c r="K19" s="2" t="n">
        <x:f>K17-K18</x:f>
        <x:v>4810.824999999998</x:v>
      </x:c>
      <x:c r="L19" s="2" t="n">
        <x:f>L17-L18</x:f>
        <x:v>4810.824999999998</x:v>
      </x:c>
      <x:c r="M19" s="2" t="n">
        <x:f>M17-M18</x:f>
        <x:v>4810.824999999998</x:v>
      </x:c>
      <x:c r="N19" s="2" t="n">
        <x:f>N17-N18</x:f>
        <x:v>4810.824999999998</x:v>
      </x:c>
      <x:c r="O19" s="2" t="n">
        <x:f>O17-O18</x:f>
        <x:v>4810.824999999998</x:v>
      </x:c>
      <x:c r="P19" s="2" t="n">
        <x:f>P17-P18</x:f>
        <x:v>4810.824999999998</x:v>
      </x:c>
      <x:c r="Q19" s="2" t="n">
        <x:f>Q17-Q18</x:f>
        <x:v>4810.824999999998</x:v>
      </x:c>
      <x:c r="R19" s="2" t="n">
        <x:f>R17-R18</x:f>
        <x:v>4810.824999999998</x:v>
      </x:c>
      <x:c r="S19" s="2" t="n">
        <x:f>S17-S18</x:f>
        <x:v>4810.824999999998</x:v>
      </x:c>
      <x:c r="T19" s="2" t="n">
        <x:f>T17-T18</x:f>
        <x:v>4810.824999999998</x:v>
      </x:c>
      <x:c r="U19" s="2" t="n">
        <x:f>U17-U18</x:f>
        <x:v>4810.824999999998</x:v>
      </x:c>
      <x:c r="V19" s="2" t="n">
        <x:f>V17-V18</x:f>
        <x:v>4810.824999999998</x:v>
      </x:c>
      <x:c r="W19" s="2" t="n">
        <x:f>W17-W18</x:f>
        <x:v>4810.824999999998</x:v>
      </x:c>
      <x:c r="X19" s="2" t="n">
        <x:f>X17-X18</x:f>
        <x:v>4810.824999999998</x:v>
      </x:c>
      <x:c r="Y19" s="2" t="n">
        <x:f>Y17-Y18</x:f>
        <x:v>4810.824999999998</x:v>
      </x:c>
      <x:c r="Z19" s="2" t="n">
        <x:f>Z17-Z18</x:f>
        <x:v>4810.824999999998</x:v>
      </x:c>
      <x:c r="AA19" s="2" t="n">
        <x:f>AA17-AA18</x:f>
        <x:v>4810.824999999998</x:v>
      </x:c>
      <x:c r="AB19" s="2" t="n">
        <x:f>AB17-AB18</x:f>
        <x:v>4810.824999999998</x:v>
      </x:c>
      <x:c r="AC19" s="2" t="n">
        <x:f>AC17-AC18</x:f>
        <x:v>4810.824999999998</x:v>
      </x:c>
      <x:c r="AD19" s="2" t="n">
        <x:f>AD17-AD18</x:f>
        <x:v>4810.824999999998</x:v>
      </x:c>
      <x:c r="AE19" s="2" t="n">
        <x:f>AE17-AE18</x:f>
        <x:v>4810.824999999998</x:v>
      </x:c>
      <x:c r="AF19" s="2" t="n">
        <x:f>AF17-AF18</x:f>
        <x:v>4810.824999999998</x:v>
      </x:c>
      <x:c r="AG19" s="2" t="n">
        <x:f>AG17-AG18</x:f>
        <x:v>4810.824999999998</x:v>
      </x:c>
      <x:c r="AH19" s="2" t="n">
        <x:f>AH17-AH18</x:f>
        <x:v>4810.824999999998</x:v>
      </x:c>
      <x:c r="AI19" s="2" t="n">
        <x:f>AI17-AI18</x:f>
        <x:v>4810.824999999998</x:v>
      </x:c>
      <x:c r="AJ19" s="2" t="n">
        <x:f>AJ17-AJ18</x:f>
        <x:v>4810.824999999998</x:v>
      </x:c>
      <x:c r="AK19" s="2" t="n">
        <x:f>AK17-AK18</x:f>
        <x:v>4810.824999999998</x:v>
      </x:c>
      <x:c r="AL19" s="2" t="n">
        <x:f>AL17-AL18</x:f>
        <x:v>4810.824999999998</x:v>
      </x:c>
      <x:c r="AM19" s="2" t="n">
        <x:f>AM17-AM18</x:f>
        <x:v>4810.824999999998</x:v>
      </x:c>
    </x:row>
    <x:row r="20" ht="24" customHeight="1">
      <x:c r="A20" s="1"/>
      <x:c r="B20" s="1"/>
      <x:c r="C20" s="1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</x:row>
    <x:row r="21" ht="24" customHeight="1">
      <x:c r="A21" s="1"/>
      <x:c r="B21" s="1"/>
      <x:c r="C21" s="1" t="str">
        <x:v>Estoque-alvo</x:v>
      </x:c>
      <x:c r="D21" s="2" t="n">
        <x:f>MAX(Investimento!$D$22,D11/Premissas!$D$7*Premissas!$D$13)</x:f>
        <x:v>2000</x:v>
      </x:c>
      <x:c r="E21" s="2" t="n">
        <x:f>MAX(Investimento!$D$22,E11/Premissas!$D$7*Premissas!$D$13)</x:f>
        <x:v>2082.7405523076923</x:v>
      </x:c>
      <x:c r="F21" s="2" t="n">
        <x:f>MAX(Investimento!$D$22,F11/Premissas!$D$7*Premissas!$D$13)</x:f>
        <x:v>2529.04209923077</x:v>
      </x:c>
      <x:c r="G21" s="2" t="n">
        <x:f>MAX(Investimento!$D$22,G11/Premissas!$D$7*Premissas!$D$13)</x:f>
        <x:v>3069.8436461538467</x:v>
      </x:c>
      <x:c r="H21" s="2" t="n">
        <x:f>MAX(Investimento!$D$22,H11/Premissas!$D$7*Premissas!$D$13)</x:f>
        <x:v>3069.8436461538467</x:v>
      </x:c>
      <x:c r="I21" s="2" t="n">
        <x:f>MAX(Investimento!$D$22,I11/Premissas!$D$7*Premissas!$D$13)</x:f>
        <x:v>3069.8436461538467</x:v>
      </x:c>
      <x:c r="J21" s="2" t="n">
        <x:f>MAX(Investimento!$D$22,J11/Premissas!$D$7*Premissas!$D$13)</x:f>
        <x:v>3069.8436461538467</x:v>
      </x:c>
      <x:c r="K21" s="2" t="n">
        <x:f>MAX(Investimento!$D$22,K11/Premissas!$D$7*Premissas!$D$13)</x:f>
        <x:v>3069.8436461538467</x:v>
      </x:c>
      <x:c r="L21" s="2" t="n">
        <x:f>MAX(Investimento!$D$22,L11/Premissas!$D$7*Premissas!$D$13)</x:f>
        <x:v>3069.8436461538467</x:v>
      </x:c>
      <x:c r="M21" s="2" t="n">
        <x:f>MAX(Investimento!$D$22,M11/Premissas!$D$7*Premissas!$D$13)</x:f>
        <x:v>3069.8436461538467</x:v>
      </x:c>
      <x:c r="N21" s="2" t="n">
        <x:f>MAX(Investimento!$D$22,N11/Premissas!$D$7*Premissas!$D$13)</x:f>
        <x:v>3069.8436461538467</x:v>
      </x:c>
      <x:c r="O21" s="2" t="n">
        <x:f>MAX(Investimento!$D$22,O11/Premissas!$D$7*Premissas!$D$13)</x:f>
        <x:v>3069.8436461538467</x:v>
      </x:c>
      <x:c r="P21" s="2" t="n">
        <x:f>MAX(Investimento!$D$22,P11/Premissas!$D$7*Premissas!$D$13)</x:f>
        <x:v>3069.8436461538467</x:v>
      </x:c>
      <x:c r="Q21" s="2" t="n">
        <x:f>MAX(Investimento!$D$22,Q11/Premissas!$D$7*Premissas!$D$13)</x:f>
        <x:v>3069.8436461538467</x:v>
      </x:c>
      <x:c r="R21" s="2" t="n">
        <x:f>MAX(Investimento!$D$22,R11/Premissas!$D$7*Premissas!$D$13)</x:f>
        <x:v>3069.8436461538467</x:v>
      </x:c>
      <x:c r="S21" s="2" t="n">
        <x:f>MAX(Investimento!$D$22,S11/Premissas!$D$7*Premissas!$D$13)</x:f>
        <x:v>3069.8436461538467</x:v>
      </x:c>
      <x:c r="T21" s="2" t="n">
        <x:f>MAX(Investimento!$D$22,T11/Premissas!$D$7*Premissas!$D$13)</x:f>
        <x:v>3069.8436461538467</x:v>
      </x:c>
      <x:c r="U21" s="2" t="n">
        <x:f>MAX(Investimento!$D$22,U11/Premissas!$D$7*Premissas!$D$13)</x:f>
        <x:v>3069.8436461538467</x:v>
      </x:c>
      <x:c r="V21" s="2" t="n">
        <x:f>MAX(Investimento!$D$22,V11/Premissas!$D$7*Premissas!$D$13)</x:f>
        <x:v>3069.8436461538467</x:v>
      </x:c>
      <x:c r="W21" s="2" t="n">
        <x:f>MAX(Investimento!$D$22,W11/Premissas!$D$7*Premissas!$D$13)</x:f>
        <x:v>3069.8436461538467</x:v>
      </x:c>
      <x:c r="X21" s="2" t="n">
        <x:f>MAX(Investimento!$D$22,X11/Premissas!$D$7*Premissas!$D$13)</x:f>
        <x:v>3069.8436461538467</x:v>
      </x:c>
      <x:c r="Y21" s="2" t="n">
        <x:f>MAX(Investimento!$D$22,Y11/Premissas!$D$7*Premissas!$D$13)</x:f>
        <x:v>3069.8436461538467</x:v>
      </x:c>
      <x:c r="Z21" s="2" t="n">
        <x:f>MAX(Investimento!$D$22,Z11/Premissas!$D$7*Premissas!$D$13)</x:f>
        <x:v>3069.8436461538467</x:v>
      </x:c>
      <x:c r="AA21" s="2" t="n">
        <x:f>MAX(Investimento!$D$22,AA11/Premissas!$D$7*Premissas!$D$13)</x:f>
        <x:v>3069.8436461538467</x:v>
      </x:c>
      <x:c r="AB21" s="2" t="n">
        <x:f>MAX(Investimento!$D$22,AB11/Premissas!$D$7*Premissas!$D$13)</x:f>
        <x:v>3069.8436461538467</x:v>
      </x:c>
      <x:c r="AC21" s="2" t="n">
        <x:f>MAX(Investimento!$D$22,AC11/Premissas!$D$7*Premissas!$D$13)</x:f>
        <x:v>3069.8436461538467</x:v>
      </x:c>
      <x:c r="AD21" s="2" t="n">
        <x:f>MAX(Investimento!$D$22,AD11/Premissas!$D$7*Premissas!$D$13)</x:f>
        <x:v>3069.8436461538467</x:v>
      </x:c>
      <x:c r="AE21" s="2" t="n">
        <x:f>MAX(Investimento!$D$22,AE11/Premissas!$D$7*Premissas!$D$13)</x:f>
        <x:v>3069.8436461538467</x:v>
      </x:c>
      <x:c r="AF21" s="2" t="n">
        <x:f>MAX(Investimento!$D$22,AF11/Premissas!$D$7*Premissas!$D$13)</x:f>
        <x:v>3069.8436461538467</x:v>
      </x:c>
      <x:c r="AG21" s="2" t="n">
        <x:f>MAX(Investimento!$D$22,AG11/Premissas!$D$7*Premissas!$D$13)</x:f>
        <x:v>3069.8436461538467</x:v>
      </x:c>
      <x:c r="AH21" s="2" t="n">
        <x:f>MAX(Investimento!$D$22,AH11/Premissas!$D$7*Premissas!$D$13)</x:f>
        <x:v>3069.8436461538467</x:v>
      </x:c>
      <x:c r="AI21" s="2" t="n">
        <x:f>MAX(Investimento!$D$22,AI11/Premissas!$D$7*Premissas!$D$13)</x:f>
        <x:v>3069.8436461538467</x:v>
      </x:c>
      <x:c r="AJ21" s="2" t="n">
        <x:f>MAX(Investimento!$D$22,AJ11/Premissas!$D$7*Premissas!$D$13)</x:f>
        <x:v>3069.8436461538467</x:v>
      </x:c>
      <x:c r="AK21" s="2" t="n">
        <x:f>MAX(Investimento!$D$22,AK11/Premissas!$D$7*Premissas!$D$13)</x:f>
        <x:v>3069.8436461538467</x:v>
      </x:c>
      <x:c r="AL21" s="2" t="n">
        <x:f>MAX(Investimento!$D$22,AL11/Premissas!$D$7*Premissas!$D$13)</x:f>
        <x:v>3069.8436461538467</x:v>
      </x:c>
      <x:c r="AM21" s="2" t="n">
        <x:f>MAX(Investimento!$D$22,AM11/Premissas!$D$7*Premissas!$D$13)</x:f>
        <x:v>3069.8436461538467</x:v>
      </x:c>
    </x:row>
    <x:row r="22" ht="24" customHeight="1">
      <x:c r="A22" s="1"/>
      <x:c r="B22" s="1"/>
      <x:c r="C22" s="1" t="str">
        <x:v>Contas a receber</x:v>
      </x:c>
      <x:c r="D22" s="2" t="n">
        <x:f>D44/Premissas!$D$14*Premissas!$D$12+D51</x:f>
        <x:v>1100.385</x:v>
      </x:c>
      <x:c r="E22" s="2" t="n">
        <x:f>E44/Premissas!$D$14*Premissas!$D$12+E51</x:f>
        <x:v>1400.4899999999996</x:v>
      </x:c>
      <x:c r="F22" s="2" t="n">
        <x:f>F44/Premissas!$D$14*Premissas!$D$12+F51</x:f>
        <x:v>1700.595</x:v>
      </x:c>
      <x:c r="G22" s="2" t="n">
        <x:f>G44/Premissas!$D$14*Premissas!$D$12+G51</x:f>
        <x:v>6894.412199999999</x:v>
      </x:c>
      <x:c r="H22" s="2" t="n">
        <x:f>H44/Premissas!$D$14*Premissas!$D$12+H51</x:f>
        <x:v>6894.412199999999</x:v>
      </x:c>
      <x:c r="I22" s="2" t="n">
        <x:f>I44/Premissas!$D$14*Premissas!$D$12+I51</x:f>
        <x:v>6894.412199999999</x:v>
      </x:c>
      <x:c r="J22" s="2" t="n">
        <x:f>J44/Premissas!$D$14*Premissas!$D$12+J51</x:f>
        <x:v>6894.412199999999</x:v>
      </x:c>
      <x:c r="K22" s="2" t="n">
        <x:f>K44/Premissas!$D$14*Premissas!$D$12+K51</x:f>
        <x:v>6894.412199999999</x:v>
      </x:c>
      <x:c r="L22" s="2" t="n">
        <x:f>L44/Premissas!$D$14*Premissas!$D$12+L51</x:f>
        <x:v>6894.412199999999</x:v>
      </x:c>
      <x:c r="M22" s="2" t="n">
        <x:f>M44/Premissas!$D$14*Premissas!$D$12+M51</x:f>
        <x:v>6894.412199999999</x:v>
      </x:c>
      <x:c r="N22" s="2" t="n">
        <x:f>N44/Premissas!$D$14*Premissas!$D$12+N51</x:f>
        <x:v>6894.412199999999</x:v>
      </x:c>
      <x:c r="O22" s="2" t="n">
        <x:f>O44/Premissas!$D$14*Premissas!$D$12+O51</x:f>
        <x:v>6894.412199999999</x:v>
      </x:c>
      <x:c r="P22" s="2" t="n">
        <x:f>P44/Premissas!$D$14*Premissas!$D$12+P51</x:f>
        <x:v>6894.412199999999</x:v>
      </x:c>
      <x:c r="Q22" s="2" t="n">
        <x:f>Q44/Premissas!$D$14*Premissas!$D$12+Q51</x:f>
        <x:v>6894.412199999999</x:v>
      </x:c>
      <x:c r="R22" s="2" t="n">
        <x:f>R44/Premissas!$D$14*Premissas!$D$12+R51</x:f>
        <x:v>6894.412199999999</x:v>
      </x:c>
      <x:c r="S22" s="2" t="n">
        <x:f>S44/Premissas!$D$14*Premissas!$D$12+S51</x:f>
        <x:v>6894.412199999999</x:v>
      </x:c>
      <x:c r="T22" s="2" t="n">
        <x:f>T44/Premissas!$D$14*Premissas!$D$12+T51</x:f>
        <x:v>6894.412199999999</x:v>
      </x:c>
      <x:c r="U22" s="2" t="n">
        <x:f>U44/Premissas!$D$14*Premissas!$D$12+U51</x:f>
        <x:v>6894.412199999999</x:v>
      </x:c>
      <x:c r="V22" s="2" t="n">
        <x:f>V44/Premissas!$D$14*Premissas!$D$12+V51</x:f>
        <x:v>6894.412199999999</x:v>
      </x:c>
      <x:c r="W22" s="2" t="n">
        <x:f>W44/Premissas!$D$14*Premissas!$D$12+W51</x:f>
        <x:v>6894.412199999999</x:v>
      </x:c>
      <x:c r="X22" s="2" t="n">
        <x:f>X44/Premissas!$D$14*Premissas!$D$12+X51</x:f>
        <x:v>6894.412199999999</x:v>
      </x:c>
      <x:c r="Y22" s="2" t="n">
        <x:f>Y44/Premissas!$D$14*Premissas!$D$12+Y51</x:f>
        <x:v>6894.412199999999</x:v>
      </x:c>
      <x:c r="Z22" s="2" t="n">
        <x:f>Z44/Premissas!$D$14*Premissas!$D$12+Z51</x:f>
        <x:v>6894.412199999999</x:v>
      </x:c>
      <x:c r="AA22" s="2" t="n">
        <x:f>AA44/Premissas!$D$14*Premissas!$D$12+AA51</x:f>
        <x:v>6894.412199999999</x:v>
      </x:c>
      <x:c r="AB22" s="2" t="n">
        <x:f>AB44/Premissas!$D$14*Premissas!$D$12+AB51</x:f>
        <x:v>6894.412199999999</x:v>
      </x:c>
      <x:c r="AC22" s="2" t="n">
        <x:f>AC44/Premissas!$D$14*Premissas!$D$12+AC51</x:f>
        <x:v>6894.412199999999</x:v>
      </x:c>
      <x:c r="AD22" s="2" t="n">
        <x:f>AD44/Premissas!$D$14*Premissas!$D$12+AD51</x:f>
        <x:v>6894.412199999999</x:v>
      </x:c>
      <x:c r="AE22" s="2" t="n">
        <x:f>AE44/Premissas!$D$14*Premissas!$D$12+AE51</x:f>
        <x:v>6894.412199999999</x:v>
      </x:c>
      <x:c r="AF22" s="2" t="n">
        <x:f>AF44/Premissas!$D$14*Premissas!$D$12+AF51</x:f>
        <x:v>6894.412199999999</x:v>
      </x:c>
      <x:c r="AG22" s="2" t="n">
        <x:f>AG44/Premissas!$D$14*Premissas!$D$12+AG51</x:f>
        <x:v>6894.412199999999</x:v>
      </x:c>
      <x:c r="AH22" s="2" t="n">
        <x:f>AH44/Premissas!$D$14*Premissas!$D$12+AH51</x:f>
        <x:v>6894.412199999999</x:v>
      </x:c>
      <x:c r="AI22" s="2" t="n">
        <x:f>AI44/Premissas!$D$14*Premissas!$D$12+AI51</x:f>
        <x:v>6894.412199999999</x:v>
      </x:c>
      <x:c r="AJ22" s="2" t="n">
        <x:f>AJ44/Premissas!$D$14*Premissas!$D$12+AJ51</x:f>
        <x:v>6894.412199999999</x:v>
      </x:c>
      <x:c r="AK22" s="2" t="n">
        <x:f>AK44/Premissas!$D$14*Premissas!$D$12+AK51</x:f>
        <x:v>6894.412199999999</x:v>
      </x:c>
      <x:c r="AL22" s="2" t="n">
        <x:f>AL44/Premissas!$D$14*Premissas!$D$12+AL51</x:f>
        <x:v>6894.412199999999</x:v>
      </x:c>
      <x:c r="AM22" s="2" t="n">
        <x:f>AM44/Premissas!$D$14*Premissas!$D$12+AM51</x:f>
        <x:v>6894.412199999999</x:v>
      </x:c>
    </x:row>
    <x:row r="23" ht="24" customHeight="1">
      <x:c r="A23" s="1"/>
      <x:c r="B23" s="1"/>
      <x:c r="C23" s="1" t="str">
        <x:v>Capital de giro aplicado</x:v>
      </x:c>
      <x:c r="D23" s="2" t="n">
        <x:f>SUM(D21:D22)</x:f>
        <x:v>3100.385</x:v>
      </x:c>
      <x:c r="E23" s="2" t="n">
        <x:f>SUM(E21:E22)</x:f>
        <x:v>3483.230552307692</x:v>
      </x:c>
      <x:c r="F23" s="2" t="n">
        <x:f>SUM(F21:F22)</x:f>
        <x:v>4229.63709923077</x:v>
      </x:c>
      <x:c r="G23" s="2" t="n">
        <x:f>SUM(G21:G22)</x:f>
        <x:v>9964.255846153847</x:v>
      </x:c>
      <x:c r="H23" s="2" t="n">
        <x:f>SUM(H21:H22)</x:f>
        <x:v>9964.255846153847</x:v>
      </x:c>
      <x:c r="I23" s="2" t="n">
        <x:f>SUM(I21:I22)</x:f>
        <x:v>9964.255846153847</x:v>
      </x:c>
      <x:c r="J23" s="2" t="n">
        <x:f>SUM(J21:J22)</x:f>
        <x:v>9964.255846153847</x:v>
      </x:c>
      <x:c r="K23" s="2" t="n">
        <x:f>SUM(K21:K22)</x:f>
        <x:v>9964.255846153847</x:v>
      </x:c>
      <x:c r="L23" s="2" t="n">
        <x:f>SUM(L21:L22)</x:f>
        <x:v>9964.255846153847</x:v>
      </x:c>
      <x:c r="M23" s="2" t="n">
        <x:f>SUM(M21:M22)</x:f>
        <x:v>9964.255846153847</x:v>
      </x:c>
      <x:c r="N23" s="2" t="n">
        <x:f>SUM(N21:N22)</x:f>
        <x:v>9964.255846153847</x:v>
      </x:c>
      <x:c r="O23" s="2" t="n">
        <x:f>SUM(O21:O22)</x:f>
        <x:v>9964.255846153847</x:v>
      </x:c>
      <x:c r="P23" s="2" t="n">
        <x:f>SUM(P21:P22)</x:f>
        <x:v>9964.255846153847</x:v>
      </x:c>
      <x:c r="Q23" s="2" t="n">
        <x:f>SUM(Q21:Q22)</x:f>
        <x:v>9964.255846153847</x:v>
      </x:c>
      <x:c r="R23" s="2" t="n">
        <x:f>SUM(R21:R22)</x:f>
        <x:v>9964.255846153847</x:v>
      </x:c>
      <x:c r="S23" s="2" t="n">
        <x:f>SUM(S21:S22)</x:f>
        <x:v>9964.255846153847</x:v>
      </x:c>
      <x:c r="T23" s="2" t="n">
        <x:f>SUM(T21:T22)</x:f>
        <x:v>9964.255846153847</x:v>
      </x:c>
      <x:c r="U23" s="2" t="n">
        <x:f>SUM(U21:U22)</x:f>
        <x:v>9964.255846153847</x:v>
      </x:c>
      <x:c r="V23" s="2" t="n">
        <x:f>SUM(V21:V22)</x:f>
        <x:v>9964.255846153847</x:v>
      </x:c>
      <x:c r="W23" s="2" t="n">
        <x:f>SUM(W21:W22)</x:f>
        <x:v>9964.255846153847</x:v>
      </x:c>
      <x:c r="X23" s="2" t="n">
        <x:f>SUM(X21:X22)</x:f>
        <x:v>9964.255846153847</x:v>
      </x:c>
      <x:c r="Y23" s="2" t="n">
        <x:f>SUM(Y21:Y22)</x:f>
        <x:v>9964.255846153847</x:v>
      </x:c>
      <x:c r="Z23" s="2" t="n">
        <x:f>SUM(Z21:Z22)</x:f>
        <x:v>9964.255846153847</x:v>
      </x:c>
      <x:c r="AA23" s="2" t="n">
        <x:f>SUM(AA21:AA22)</x:f>
        <x:v>9964.255846153847</x:v>
      </x:c>
      <x:c r="AB23" s="2" t="n">
        <x:f>SUM(AB21:AB22)</x:f>
        <x:v>9964.255846153847</x:v>
      </x:c>
      <x:c r="AC23" s="2" t="n">
        <x:f>SUM(AC21:AC22)</x:f>
        <x:v>9964.255846153847</x:v>
      </x:c>
      <x:c r="AD23" s="2" t="n">
        <x:f>SUM(AD21:AD22)</x:f>
        <x:v>9964.255846153847</x:v>
      </x:c>
      <x:c r="AE23" s="2" t="n">
        <x:f>SUM(AE21:AE22)</x:f>
        <x:v>9964.255846153847</x:v>
      </x:c>
      <x:c r="AF23" s="2" t="n">
        <x:f>SUM(AF21:AF22)</x:f>
        <x:v>9964.255846153847</x:v>
      </x:c>
      <x:c r="AG23" s="2" t="n">
        <x:f>SUM(AG21:AG22)</x:f>
        <x:v>9964.255846153847</x:v>
      </x:c>
      <x:c r="AH23" s="2" t="n">
        <x:f>SUM(AH21:AH22)</x:f>
        <x:v>9964.255846153847</x:v>
      </x:c>
      <x:c r="AI23" s="2" t="n">
        <x:f>SUM(AI21:AI22)</x:f>
        <x:v>9964.255846153847</x:v>
      </x:c>
      <x:c r="AJ23" s="2" t="n">
        <x:f>SUM(AJ21:AJ22)</x:f>
        <x:v>9964.255846153847</x:v>
      </x:c>
      <x:c r="AK23" s="2" t="n">
        <x:f>SUM(AK21:AK22)</x:f>
        <x:v>9964.255846153847</x:v>
      </x:c>
      <x:c r="AL23" s="2" t="n">
        <x:f>SUM(AL21:AL22)</x:f>
        <x:v>9964.255846153847</x:v>
      </x:c>
      <x:c r="AM23" s="2" t="n">
        <x:f>SUM(AM21:AM22)</x:f>
        <x:v>9964.255846153847</x:v>
      </x:c>
    </x:row>
    <x:row r="24" ht="24" customHeight="1">
      <x:c r="A24" s="1"/>
      <x:c r="B24" s="1"/>
      <x:c r="C24" s="1" t="str">
        <x:v>Variação do capital de giro</x:v>
      </x:c>
      <x:c r="D24" s="2" t="n">
        <x:f>D23-Investimento!$D$22</x:f>
        <x:v>1100.3850000000002</x:v>
      </x:c>
      <x:c r="E24" s="2" t="n">
        <x:f>E23-D23</x:f>
        <x:v>382.84555230769183</x:v>
      </x:c>
      <x:c r="F24" s="2" t="n">
        <x:f>F23-E23</x:f>
        <x:v>746.4065469230782</x:v>
      </x:c>
      <x:c r="G24" s="2" t="n">
        <x:f>G23-F23</x:f>
        <x:v>5734.618746923076</x:v>
      </x:c>
      <x:c r="H24" s="2" t="n">
        <x:f>H23-G23</x:f>
        <x:v>0</x:v>
      </x:c>
      <x:c r="I24" s="2" t="n">
        <x:f>I23-H23</x:f>
        <x:v>0</x:v>
      </x:c>
      <x:c r="J24" s="2" t="n">
        <x:f>J23-I23</x:f>
        <x:v>0</x:v>
      </x:c>
      <x:c r="K24" s="2" t="n">
        <x:f>K23-J23</x:f>
        <x:v>0</x:v>
      </x:c>
      <x:c r="L24" s="2" t="n">
        <x:f>L23-K23</x:f>
        <x:v>0</x:v>
      </x:c>
      <x:c r="M24" s="2" t="n">
        <x:f>M23-L23</x:f>
        <x:v>0</x:v>
      </x:c>
      <x:c r="N24" s="2" t="n">
        <x:f>N23-M23</x:f>
        <x:v>0</x:v>
      </x:c>
      <x:c r="O24" s="2" t="n">
        <x:f>O23-N23</x:f>
        <x:v>0</x:v>
      </x:c>
      <x:c r="P24" s="2" t="n">
        <x:f>P23-O23</x:f>
        <x:v>0</x:v>
      </x:c>
      <x:c r="Q24" s="2" t="n">
        <x:f>Q23-P23</x:f>
        <x:v>0</x:v>
      </x:c>
      <x:c r="R24" s="2" t="n">
        <x:f>R23-Q23</x:f>
        <x:v>0</x:v>
      </x:c>
      <x:c r="S24" s="2" t="n">
        <x:f>S23-R23</x:f>
        <x:v>0</x:v>
      </x:c>
      <x:c r="T24" s="2" t="n">
        <x:f>T23-S23</x:f>
        <x:v>0</x:v>
      </x:c>
      <x:c r="U24" s="2" t="n">
        <x:f>U23-T23</x:f>
        <x:v>0</x:v>
      </x:c>
      <x:c r="V24" s="2" t="n">
        <x:f>V23-U23</x:f>
        <x:v>0</x:v>
      </x:c>
      <x:c r="W24" s="2" t="n">
        <x:f>W23-V23</x:f>
        <x:v>0</x:v>
      </x:c>
      <x:c r="X24" s="2" t="n">
        <x:f>X23-W23</x:f>
        <x:v>0</x:v>
      </x:c>
      <x:c r="Y24" s="2" t="n">
        <x:f>Y23-X23</x:f>
        <x:v>0</x:v>
      </x:c>
      <x:c r="Z24" s="2" t="n">
        <x:f>Z23-Y23</x:f>
        <x:v>0</x:v>
      </x:c>
      <x:c r="AA24" s="2" t="n">
        <x:f>AA23-Z23</x:f>
        <x:v>0</x:v>
      </x:c>
      <x:c r="AB24" s="2" t="n">
        <x:f>AB23-AA23</x:f>
        <x:v>0</x:v>
      </x:c>
      <x:c r="AC24" s="2" t="n">
        <x:f>AC23-AB23</x:f>
        <x:v>0</x:v>
      </x:c>
      <x:c r="AD24" s="2" t="n">
        <x:f>AD23-AC23</x:f>
        <x:v>0</x:v>
      </x:c>
      <x:c r="AE24" s="2" t="n">
        <x:f>AE23-AD23</x:f>
        <x:v>0</x:v>
      </x:c>
      <x:c r="AF24" s="2" t="n">
        <x:f>AF23-AE23</x:f>
        <x:v>0</x:v>
      </x:c>
      <x:c r="AG24" s="2" t="n">
        <x:f>AG23-AF23</x:f>
        <x:v>0</x:v>
      </x:c>
      <x:c r="AH24" s="2" t="n">
        <x:f>AH23-AG23</x:f>
        <x:v>0</x:v>
      </x:c>
      <x:c r="AI24" s="2" t="n">
        <x:f>AI23-AH23</x:f>
        <x:v>0</x:v>
      </x:c>
      <x:c r="AJ24" s="2" t="n">
        <x:f>AJ23-AI23</x:f>
        <x:v>0</x:v>
      </x:c>
      <x:c r="AK24" s="2" t="n">
        <x:f>AK23-AJ23</x:f>
        <x:v>0</x:v>
      </x:c>
      <x:c r="AL24" s="2" t="n">
        <x:f>AL23-AK23</x:f>
        <x:v>0</x:v>
      </x:c>
      <x:c r="AM24" s="2" t="n">
        <x:f>AM23-AL23</x:f>
        <x:v>0</x:v>
      </x:c>
    </x:row>
    <x:row r="25" ht="28" customHeight="1">
      <x:c r="A25" s="1"/>
      <x:c r="B25" s="1"/>
      <x:c r="C25" s="6" t="str">
        <x:v>Caixa livre do mês</x:v>
      </x:c>
      <x:c r="D25" s="7" t="n">
        <x:f>D19-D24</x:f>
        <x:v>-2138.4472700000006</x:v>
      </x:c>
      <x:c r="E25" s="7" t="n">
        <x:f>E19-E24</x:f>
        <x:v>927.8024676923037</x:v>
      </x:c>
      <x:c r="F25" s="7" t="n">
        <x:f>F19-F24</x:f>
        <x:v>2912.9517630769187</x:v>
      </x:c>
      <x:c r="G25" s="7" t="n">
        <x:f>G19-G24</x:f>
        <x:v>-923.7937469230783</x:v>
      </x:c>
      <x:c r="H25" s="7" t="n">
        <x:f>H19-H24</x:f>
        <x:v>4810.824999999998</x:v>
      </x:c>
      <x:c r="I25" s="7" t="n">
        <x:f>I19-I24</x:f>
        <x:v>4810.824999999998</x:v>
      </x:c>
      <x:c r="J25" s="7" t="n">
        <x:f>J19-J24</x:f>
        <x:v>4810.824999999998</x:v>
      </x:c>
      <x:c r="K25" s="7" t="n">
        <x:f>K19-K24</x:f>
        <x:v>4810.824999999998</x:v>
      </x:c>
      <x:c r="L25" s="7" t="n">
        <x:f>L19-L24</x:f>
        <x:v>4810.824999999998</x:v>
      </x:c>
      <x:c r="M25" s="7" t="n">
        <x:f>M19-M24</x:f>
        <x:v>4810.824999999998</x:v>
      </x:c>
      <x:c r="N25" s="7" t="n">
        <x:f>N19-N24</x:f>
        <x:v>4810.824999999998</x:v>
      </x:c>
      <x:c r="O25" s="7" t="n">
        <x:f>O19-O24</x:f>
        <x:v>4810.824999999998</x:v>
      </x:c>
      <x:c r="P25" s="7" t="n">
        <x:f>P19-P24</x:f>
        <x:v>4810.824999999998</x:v>
      </x:c>
      <x:c r="Q25" s="7" t="n">
        <x:f>Q19-Q24</x:f>
        <x:v>4810.824999999998</x:v>
      </x:c>
      <x:c r="R25" s="7" t="n">
        <x:f>R19-R24</x:f>
        <x:v>4810.824999999998</x:v>
      </x:c>
      <x:c r="S25" s="7" t="n">
        <x:f>S19-S24</x:f>
        <x:v>4810.824999999998</x:v>
      </x:c>
      <x:c r="T25" s="7" t="n">
        <x:f>T19-T24</x:f>
        <x:v>4810.824999999998</x:v>
      </x:c>
      <x:c r="U25" s="7" t="n">
        <x:f>U19-U24</x:f>
        <x:v>4810.824999999998</x:v>
      </x:c>
      <x:c r="V25" s="7" t="n">
        <x:f>V19-V24</x:f>
        <x:v>4810.824999999998</x:v>
      </x:c>
      <x:c r="W25" s="7" t="n">
        <x:f>W19-W24</x:f>
        <x:v>4810.824999999998</x:v>
      </x:c>
      <x:c r="X25" s="7" t="n">
        <x:f>X19-X24</x:f>
        <x:v>4810.824999999998</x:v>
      </x:c>
      <x:c r="Y25" s="7" t="n">
        <x:f>Y19-Y24</x:f>
        <x:v>4810.824999999998</x:v>
      </x:c>
      <x:c r="Z25" s="7" t="n">
        <x:f>Z19-Z24</x:f>
        <x:v>4810.824999999998</x:v>
      </x:c>
      <x:c r="AA25" s="7" t="n">
        <x:f>AA19-AA24</x:f>
        <x:v>4810.824999999998</x:v>
      </x:c>
      <x:c r="AB25" s="7" t="n">
        <x:f>AB19-AB24</x:f>
        <x:v>4810.824999999998</x:v>
      </x:c>
      <x:c r="AC25" s="7" t="n">
        <x:f>AC19-AC24</x:f>
        <x:v>4810.824999999998</x:v>
      </x:c>
      <x:c r="AD25" s="7" t="n">
        <x:f>AD19-AD24</x:f>
        <x:v>4810.824999999998</x:v>
      </x:c>
      <x:c r="AE25" s="7" t="n">
        <x:f>AE19-AE24</x:f>
        <x:v>4810.824999999998</x:v>
      </x:c>
      <x:c r="AF25" s="7" t="n">
        <x:f>AF19-AF24</x:f>
        <x:v>4810.824999999998</x:v>
      </x:c>
      <x:c r="AG25" s="7" t="n">
        <x:f>AG19-AG24</x:f>
        <x:v>4810.824999999998</x:v>
      </x:c>
      <x:c r="AH25" s="7" t="n">
        <x:f>AH19-AH24</x:f>
        <x:v>4810.824999999998</x:v>
      </x:c>
      <x:c r="AI25" s="7" t="n">
        <x:f>AI19-AI24</x:f>
        <x:v>4810.824999999998</x:v>
      </x:c>
      <x:c r="AJ25" s="7" t="n">
        <x:f>AJ19-AJ24</x:f>
        <x:v>4810.824999999998</x:v>
      </x:c>
      <x:c r="AK25" s="7" t="n">
        <x:f>AK19-AK24</x:f>
        <x:v>4810.824999999998</x:v>
      </x:c>
      <x:c r="AL25" s="7" t="n">
        <x:f>AL19-AL24</x:f>
        <x:v>4810.824999999998</x:v>
      </x:c>
      <x:c r="AM25" s="7" t="n">
        <x:f>AM19-AM24</x:f>
        <x:v>4810.824999999998</x:v>
      </x:c>
    </x:row>
    <x:row r="26" ht="24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</x:row>
    <x:row r="27" ht="28" customHeight="1">
      <x:c r="A27" s="1"/>
      <x:c r="B27" s="1"/>
      <x:c r="C27" s="6" t="str">
        <x:v>Caixa operacional disponível</x:v>
      </x:c>
      <x:c r="D27" s="7" t="n">
        <x:f>Investimento!$D$24+D25</x:f>
        <x:v>4861.552729999999</x:v>
      </x:c>
      <x:c r="E27" s="7" t="n">
        <x:f>D27+E25</x:f>
        <x:v>5789.355197692303</x:v>
      </x:c>
      <x:c r="F27" s="7" t="n">
        <x:f>E27+F25</x:f>
        <x:v>8702.306960769221</x:v>
      </x:c>
      <x:c r="G27" s="7" t="n">
        <x:f>F27+G25</x:f>
        <x:v>7778.513213846143</x:v>
      </x:c>
      <x:c r="H27" s="7" t="n">
        <x:f>G27+H25</x:f>
        <x:v>12589.338213846142</x:v>
      </x:c>
      <x:c r="I27" s="7" t="n">
        <x:f>H27+I25</x:f>
        <x:v>17400.16321384614</x:v>
      </x:c>
      <x:c r="J27" s="7" t="n">
        <x:f>I27+J25</x:f>
        <x:v>22210.988213846136</x:v>
      </x:c>
      <x:c r="K27" s="7" t="n">
        <x:f>J27+K25</x:f>
        <x:v>27021.813213846133</x:v>
      </x:c>
      <x:c r="L27" s="7" t="n">
        <x:f>K27+L25</x:f>
        <x:v>31832.63821384613</x:v>
      </x:c>
      <x:c r="M27" s="7" t="n">
        <x:f>L27+M25</x:f>
        <x:v>36643.46321384613</x:v>
      </x:c>
      <x:c r="N27" s="7" t="n">
        <x:f>M27+N25</x:f>
        <x:v>41454.28821384613</x:v>
      </x:c>
      <x:c r="O27" s="7" t="n">
        <x:f>N27+O25</x:f>
        <x:v>46265.113213846125</x:v>
      </x:c>
      <x:c r="P27" s="7" t="n">
        <x:f>O27+P25</x:f>
        <x:v>51075.93821384612</x:v>
      </x:c>
      <x:c r="Q27" s="7" t="n">
        <x:f>P27+Q25</x:f>
        <x:v>55886.76321384612</x:v>
      </x:c>
      <x:c r="R27" s="7" t="n">
        <x:f>Q27+R25</x:f>
        <x:v>60697.58821384612</x:v>
      </x:c>
      <x:c r="S27" s="7" t="n">
        <x:f>R27+S25</x:f>
        <x:v>65508.413213846114</x:v>
      </x:c>
      <x:c r="T27" s="7" t="n">
        <x:f>S27+T25</x:f>
        <x:v>70319.23821384611</x:v>
      </x:c>
      <x:c r="U27" s="7" t="n">
        <x:f>T27+U25</x:f>
        <x:v>75130.06321384611</x:v>
      </x:c>
      <x:c r="V27" s="7" t="n">
        <x:f>U27+V25</x:f>
        <x:v>79940.8882138461</x:v>
      </x:c>
      <x:c r="W27" s="7" t="n">
        <x:f>V27+W25</x:f>
        <x:v>84751.7132138461</x:v>
      </x:c>
      <x:c r="X27" s="7" t="n">
        <x:f>W27+X25</x:f>
        <x:v>89562.5382138461</x:v>
      </x:c>
      <x:c r="Y27" s="7" t="n">
        <x:f>X27+Y25</x:f>
        <x:v>94373.3632138461</x:v>
      </x:c>
      <x:c r="Z27" s="7" t="n">
        <x:f>Y27+Z25</x:f>
        <x:v>99184.1882138461</x:v>
      </x:c>
      <x:c r="AA27" s="7" t="n">
        <x:f>Z27+AA25</x:f>
        <x:v>103995.01321384609</x:v>
      </x:c>
      <x:c r="AB27" s="7" t="n">
        <x:f>AA27+AB25</x:f>
        <x:v>108805.83821384609</x:v>
      </x:c>
      <x:c r="AC27" s="7" t="n">
        <x:f>AB27+AC25</x:f>
        <x:v>113616.66321384608</x:v>
      </x:c>
      <x:c r="AD27" s="7" t="n">
        <x:f>AC27+AD25</x:f>
        <x:v>118427.48821384608</x:v>
      </x:c>
      <x:c r="AE27" s="7" t="n">
        <x:f>AD27+AE25</x:f>
        <x:v>123238.31321384608</x:v>
      </x:c>
      <x:c r="AF27" s="7" t="n">
        <x:f>AE27+AF25</x:f>
        <x:v>128049.13821384608</x:v>
      </x:c>
      <x:c r="AG27" s="7" t="n">
        <x:f>AF27+AG25</x:f>
        <x:v>132859.9632138461</x:v>
      </x:c>
      <x:c r="AH27" s="7" t="n">
        <x:f>AG27+AH25</x:f>
        <x:v>137670.7882138461</x:v>
      </x:c>
      <x:c r="AI27" s="7" t="n">
        <x:f>AH27+AI25</x:f>
        <x:v>142481.6132138461</x:v>
      </x:c>
      <x:c r="AJ27" s="7" t="n">
        <x:f>AI27+AJ25</x:f>
        <x:v>147292.43821384612</x:v>
      </x:c>
      <x:c r="AK27" s="7" t="n">
        <x:f>AJ27+AK25</x:f>
        <x:v>152103.26321384613</x:v>
      </x:c>
      <x:c r="AL27" s="7" t="n">
        <x:f>AK27+AL25</x:f>
        <x:v>156914.08821384615</x:v>
      </x:c>
      <x:c r="AM27" s="7" t="n">
        <x:f>AL27+AM25</x:f>
        <x:v>161724.91321384616</x:v>
      </x:c>
    </x:row>
    <x:row r="28" ht="24" customHeight="1">
      <x:c r="A28" s="1"/>
      <x:c r="B28" s="1"/>
      <x:c r="C28" s="1" t="str">
        <x:v>Caixa livre acumulado</x:v>
      </x:c>
      <x:c r="D28" s="2" t="n">
        <x:f>D25</x:f>
        <x:v>-2138.4472700000006</x:v>
      </x:c>
      <x:c r="E28" s="2" t="n">
        <x:f>D28+E25</x:f>
        <x:v>-1210.6448023076969</x:v>
      </x:c>
      <x:c r="F28" s="2" t="n">
        <x:f>E28+F25</x:f>
        <x:v>1702.3069607692219</x:v>
      </x:c>
      <x:c r="G28" s="2" t="n">
        <x:f>F28+G25</x:f>
        <x:v>778.5132138461436</x:v>
      </x:c>
      <x:c r="H28" s="2" t="n">
        <x:f>G28+H25</x:f>
        <x:v>5589.338213846142</x:v>
      </x:c>
      <x:c r="I28" s="2" t="n">
        <x:f>H28+I25</x:f>
        <x:v>10400.16321384614</x:v>
      </x:c>
      <x:c r="J28" s="2" t="n">
        <x:f>I28+J25</x:f>
        <x:v>15210.988213846136</x:v>
      </x:c>
      <x:c r="K28" s="2" t="n">
        <x:f>J28+K25</x:f>
        <x:v>20021.813213846133</x:v>
      </x:c>
      <x:c r="L28" s="2" t="n">
        <x:f>K28+L25</x:f>
        <x:v>24832.63821384613</x:v>
      </x:c>
      <x:c r="M28" s="2" t="n">
        <x:f>L28+M25</x:f>
        <x:v>29643.463213846127</x:v>
      </x:c>
      <x:c r="N28" s="2" t="n">
        <x:f>M28+N25</x:f>
        <x:v>34454.28821384613</x:v>
      </x:c>
      <x:c r="O28" s="2" t="n">
        <x:f>N28+O25</x:f>
        <x:v>39265.113213846125</x:v>
      </x:c>
      <x:c r="P28" s="2" t="n">
        <x:f>O28+P25</x:f>
        <x:v>44075.93821384612</x:v>
      </x:c>
      <x:c r="Q28" s="2" t="n">
        <x:f>P28+Q25</x:f>
        <x:v>48886.76321384612</x:v>
      </x:c>
      <x:c r="R28" s="2" t="n">
        <x:f>Q28+R25</x:f>
        <x:v>53697.58821384612</x:v>
      </x:c>
      <x:c r="S28" s="2" t="n">
        <x:f>R28+S25</x:f>
        <x:v>58508.413213846114</x:v>
      </x:c>
      <x:c r="T28" s="2" t="n">
        <x:f>S28+T25</x:f>
        <x:v>63319.23821384611</x:v>
      </x:c>
      <x:c r="U28" s="2" t="n">
        <x:f>T28+U25</x:f>
        <x:v>68130.06321384611</x:v>
      </x:c>
      <x:c r="V28" s="2" t="n">
        <x:f>U28+V25</x:f>
        <x:v>72940.8882138461</x:v>
      </x:c>
      <x:c r="W28" s="2" t="n">
        <x:f>V28+W25</x:f>
        <x:v>77751.7132138461</x:v>
      </x:c>
      <x:c r="X28" s="2" t="n">
        <x:f>W28+X25</x:f>
        <x:v>82562.5382138461</x:v>
      </x:c>
      <x:c r="Y28" s="2" t="n">
        <x:f>X28+Y25</x:f>
        <x:v>87373.3632138461</x:v>
      </x:c>
      <x:c r="Z28" s="2" t="n">
        <x:f>Y28+Z25</x:f>
        <x:v>92184.1882138461</x:v>
      </x:c>
      <x:c r="AA28" s="2" t="n">
        <x:f>Z28+AA25</x:f>
        <x:v>96995.01321384609</x:v>
      </x:c>
      <x:c r="AB28" s="2" t="n">
        <x:f>AA28+AB25</x:f>
        <x:v>101805.83821384609</x:v>
      </x:c>
      <x:c r="AC28" s="2" t="n">
        <x:f>AB28+AC25</x:f>
        <x:v>106616.66321384608</x:v>
      </x:c>
      <x:c r="AD28" s="2" t="n">
        <x:f>AC28+AD25</x:f>
        <x:v>111427.48821384608</x:v>
      </x:c>
      <x:c r="AE28" s="2" t="n">
        <x:f>AD28+AE25</x:f>
        <x:v>116238.31321384608</x:v>
      </x:c>
      <x:c r="AF28" s="2" t="n">
        <x:f>AE28+AF25</x:f>
        <x:v>121049.13821384608</x:v>
      </x:c>
      <x:c r="AG28" s="2" t="n">
        <x:f>AF28+AG25</x:f>
        <x:v>125859.96321384607</x:v>
      </x:c>
      <x:c r="AH28" s="2" t="n">
        <x:f>AG28+AH25</x:f>
        <x:v>130670.78821384607</x:v>
      </x:c>
      <x:c r="AI28" s="2" t="n">
        <x:f>AH28+AI25</x:f>
        <x:v>135481.61321384608</x:v>
      </x:c>
      <x:c r="AJ28" s="2" t="n">
        <x:f>AI28+AJ25</x:f>
        <x:v>140292.4382138461</x:v>
      </x:c>
      <x:c r="AK28" s="2" t="n">
        <x:f>AJ28+AK25</x:f>
        <x:v>145103.2632138461</x:v>
      </x:c>
      <x:c r="AL28" s="2" t="n">
        <x:f>AK28+AL25</x:f>
        <x:v>149914.08821384612</x:v>
      </x:c>
      <x:c r="AM28" s="2" t="n">
        <x:f>AL28+AM25</x:f>
        <x:v>154724.91321384613</x:v>
      </x:c>
    </x:row>
    <x:row r="29" ht="24" customHeight="1">
      <x:c r="A29" s="1"/>
      <x:c r="B29" s="1"/>
      <x:c r="C29" s="1" t="str">
        <x:v>Capital ainda não recuperado</x:v>
      </x:c>
      <x:c r="D29" s="2" t="n">
        <x:f>Investimento!$D$26-D28</x:f>
        <x:v>32138.44727</x:v>
      </x:c>
      <x:c r="E29" s="2" t="n">
        <x:f>Investimento!$D$26-E28</x:f>
        <x:v>31210.644802307695</x:v>
      </x:c>
      <x:c r="F29" s="2" t="n">
        <x:f>Investimento!$D$26-F28</x:f>
        <x:v>28297.693039230777</x:v>
      </x:c>
      <x:c r="G29" s="2" t="n">
        <x:f>Investimento!$D$26-G28</x:f>
        <x:v>29221.486786153855</x:v>
      </x:c>
      <x:c r="H29" s="2" t="n">
        <x:f>Investimento!$D$26-H28</x:f>
        <x:v>24410.661786153858</x:v>
      </x:c>
      <x:c r="I29" s="2" t="n">
        <x:f>Investimento!$D$26-I28</x:f>
        <x:v>19599.83678615386</x:v>
      </x:c>
      <x:c r="J29" s="2" t="n">
        <x:f>Investimento!$D$26-J28</x:f>
        <x:v>14789.011786153864</x:v>
      </x:c>
      <x:c r="K29" s="2" t="n">
        <x:f>Investimento!$D$26-K28</x:f>
        <x:v>9978.186786153867</x:v>
      </x:c>
      <x:c r="L29" s="2" t="n">
        <x:f>Investimento!$D$26-L28</x:f>
        <x:v>5167.36178615387</x:v>
      </x:c>
      <x:c r="M29" s="2" t="n">
        <x:f>Investimento!$D$26-M28</x:f>
        <x:v>356.5367861538725</x:v>
      </x:c>
      <x:c r="N29" s="2" t="n">
        <x:f>Investimento!$D$26-N28</x:f>
        <x:v>-4454.288213846128</x:v>
      </x:c>
      <x:c r="O29" s="2" t="n">
        <x:f>Investimento!$D$26-O28</x:f>
        <x:v>-9265.113213846125</x:v>
      </x:c>
      <x:c r="P29" s="2" t="n">
        <x:f>Investimento!$D$26-P28</x:f>
        <x:v>-14075.938213846122</x:v>
      </x:c>
      <x:c r="Q29" s="2" t="n">
        <x:f>Investimento!$D$26-Q28</x:f>
        <x:v>-18886.76321384612</x:v>
      </x:c>
      <x:c r="R29" s="2" t="n">
        <x:f>Investimento!$D$26-R28</x:f>
        <x:v>-23697.588213846117</x:v>
      </x:c>
      <x:c r="S29" s="2" t="n">
        <x:f>Investimento!$D$26-S28</x:f>
        <x:v>-28508.413213846114</x:v>
      </x:c>
      <x:c r="T29" s="2" t="n">
        <x:f>Investimento!$D$26-T28</x:f>
        <x:v>-33319.23821384611</x:v>
      </x:c>
      <x:c r="U29" s="2" t="n">
        <x:f>Investimento!$D$26-U28</x:f>
        <x:v>-38130.06321384611</x:v>
      </x:c>
      <x:c r="V29" s="2" t="n">
        <x:f>Investimento!$D$26-V28</x:f>
        <x:v>-42940.888213846105</x:v>
      </x:c>
      <x:c r="W29" s="2" t="n">
        <x:f>Investimento!$D$26-W28</x:f>
        <x:v>-47751.7132138461</x:v>
      </x:c>
      <x:c r="X29" s="2" t="n">
        <x:f>Investimento!$D$26-X28</x:f>
        <x:v>-52562.5382138461</x:v>
      </x:c>
      <x:c r="Y29" s="2" t="n">
        <x:f>Investimento!$D$26-Y28</x:f>
        <x:v>-57373.363213846096</x:v>
      </x:c>
      <x:c r="Z29" s="2" t="n">
        <x:f>Investimento!$D$26-Z28</x:f>
        <x:v>-62184.18821384609</x:v>
      </x:c>
      <x:c r="AA29" s="2" t="n">
        <x:f>Investimento!$D$26-AA28</x:f>
        <x:v>-66995.01321384609</x:v>
      </x:c>
      <x:c r="AB29" s="2" t="n">
        <x:f>Investimento!$D$26-AB28</x:f>
        <x:v>-71805.83821384609</x:v>
      </x:c>
      <x:c r="AC29" s="2" t="n">
        <x:f>Investimento!$D$26-AC28</x:f>
        <x:v>-76616.66321384608</x:v>
      </x:c>
      <x:c r="AD29" s="2" t="n">
        <x:f>Investimento!$D$26-AD28</x:f>
        <x:v>-81427.48821384608</x:v>
      </x:c>
      <x:c r="AE29" s="2" t="n">
        <x:f>Investimento!$D$26-AE28</x:f>
        <x:v>-86238.31321384608</x:v>
      </x:c>
      <x:c r="AF29" s="2" t="n">
        <x:f>Investimento!$D$26-AF28</x:f>
        <x:v>-91049.13821384608</x:v>
      </x:c>
      <x:c r="AG29" s="2" t="n">
        <x:f>Investimento!$D$26-AG28</x:f>
        <x:v>-95859.96321384607</x:v>
      </x:c>
      <x:c r="AH29" s="2" t="n">
        <x:f>Investimento!$D$26-AH28</x:f>
        <x:v>-100670.78821384607</x:v>
      </x:c>
      <x:c r="AI29" s="2" t="n">
        <x:f>Investimento!$D$26-AI28</x:f>
        <x:v>-105481.61321384608</x:v>
      </x:c>
      <x:c r="AJ29" s="2" t="n">
        <x:f>Investimento!$D$26-AJ28</x:f>
        <x:v>-110292.4382138461</x:v>
      </x:c>
      <x:c r="AK29" s="2" t="n">
        <x:f>Investimento!$D$26-AK28</x:f>
        <x:v>-115103.2632138461</x:v>
      </x:c>
      <x:c r="AL29" s="2" t="n">
        <x:f>Investimento!$D$26-AL28</x:f>
        <x:v>-119914.08821384612</x:v>
      </x:c>
      <x:c r="AM29" s="2" t="n">
        <x:f>Investimento!$D$26-AM28</x:f>
        <x:v>-124724.91321384613</x:v>
      </x:c>
    </x:row>
    <x:row r="30" ht="24" customHeight="1">
      <x:c r="A30" s="1"/>
      <x:c r="B30" s="1"/>
      <x:c r="C30" s="1" t="str">
        <x:v>Mês de recuperação (auxiliar)</x:v>
      </x:c>
      <x:c r="D30" s="18" t="n">
        <x:f>IF(D29&lt;=0,D6,999)</x:f>
        <x:v>999</x:v>
      </x:c>
      <x:c r="E30" s="18" t="n">
        <x:f>IF(E29&lt;=0,E6,999)</x:f>
        <x:v>999</x:v>
      </x:c>
      <x:c r="F30" s="18" t="n">
        <x:f>IF(F29&lt;=0,F6,999)</x:f>
        <x:v>999</x:v>
      </x:c>
      <x:c r="G30" s="18" t="n">
        <x:f>IF(G29&lt;=0,G6,999)</x:f>
        <x:v>999</x:v>
      </x:c>
      <x:c r="H30" s="18" t="n">
        <x:f>IF(H29&lt;=0,H6,999)</x:f>
        <x:v>999</x:v>
      </x:c>
      <x:c r="I30" s="18" t="n">
        <x:f>IF(I29&lt;=0,I6,999)</x:f>
        <x:v>999</x:v>
      </x:c>
      <x:c r="J30" s="18" t="n">
        <x:f>IF(J29&lt;=0,J6,999)</x:f>
        <x:v>999</x:v>
      </x:c>
      <x:c r="K30" s="18" t="n">
        <x:f>IF(K29&lt;=0,K6,999)</x:f>
        <x:v>999</x:v>
      </x:c>
      <x:c r="L30" s="18" t="n">
        <x:f>IF(L29&lt;=0,L6,999)</x:f>
        <x:v>999</x:v>
      </x:c>
      <x:c r="M30" s="18" t="n">
        <x:f>IF(M29&lt;=0,M6,999)</x:f>
        <x:v>999</x:v>
      </x:c>
      <x:c r="N30" s="18" t="n">
        <x:f>IF(N29&lt;=0,N6,999)</x:f>
        <x:v>11</x:v>
      </x:c>
      <x:c r="O30" s="18" t="n">
        <x:f>IF(O29&lt;=0,O6,999)</x:f>
        <x:v>12</x:v>
      </x:c>
      <x:c r="P30" s="18" t="n">
        <x:f>IF(P29&lt;=0,P6,999)</x:f>
        <x:v>13</x:v>
      </x:c>
      <x:c r="Q30" s="18" t="n">
        <x:f>IF(Q29&lt;=0,Q6,999)</x:f>
        <x:v>14</x:v>
      </x:c>
      <x:c r="R30" s="18" t="n">
        <x:f>IF(R29&lt;=0,R6,999)</x:f>
        <x:v>15</x:v>
      </x:c>
      <x:c r="S30" s="18" t="n">
        <x:f>IF(S29&lt;=0,S6,999)</x:f>
        <x:v>16</x:v>
      </x:c>
      <x:c r="T30" s="18" t="n">
        <x:f>IF(T29&lt;=0,T6,999)</x:f>
        <x:v>17</x:v>
      </x:c>
      <x:c r="U30" s="18" t="n">
        <x:f>IF(U29&lt;=0,U6,999)</x:f>
        <x:v>18</x:v>
      </x:c>
      <x:c r="V30" s="18" t="n">
        <x:f>IF(V29&lt;=0,V6,999)</x:f>
        <x:v>19</x:v>
      </x:c>
      <x:c r="W30" s="18" t="n">
        <x:f>IF(W29&lt;=0,W6,999)</x:f>
        <x:v>20</x:v>
      </x:c>
      <x:c r="X30" s="18" t="n">
        <x:f>IF(X29&lt;=0,X6,999)</x:f>
        <x:v>21</x:v>
      </x:c>
      <x:c r="Y30" s="18" t="n">
        <x:f>IF(Y29&lt;=0,Y6,999)</x:f>
        <x:v>22</x:v>
      </x:c>
      <x:c r="Z30" s="18" t="n">
        <x:f>IF(Z29&lt;=0,Z6,999)</x:f>
        <x:v>23</x:v>
      </x:c>
      <x:c r="AA30" s="18" t="n">
        <x:f>IF(AA29&lt;=0,AA6,999)</x:f>
        <x:v>24</x:v>
      </x:c>
      <x:c r="AB30" s="18" t="n">
        <x:f>IF(AB29&lt;=0,AB6,999)</x:f>
        <x:v>25</x:v>
      </x:c>
      <x:c r="AC30" s="18" t="n">
        <x:f>IF(AC29&lt;=0,AC6,999)</x:f>
        <x:v>26</x:v>
      </x:c>
      <x:c r="AD30" s="18" t="n">
        <x:f>IF(AD29&lt;=0,AD6,999)</x:f>
        <x:v>27</x:v>
      </x:c>
      <x:c r="AE30" s="18" t="n">
        <x:f>IF(AE29&lt;=0,AE6,999)</x:f>
        <x:v>28</x:v>
      </x:c>
      <x:c r="AF30" s="18" t="n">
        <x:f>IF(AF29&lt;=0,AF6,999)</x:f>
        <x:v>29</x:v>
      </x:c>
      <x:c r="AG30" s="18" t="n">
        <x:f>IF(AG29&lt;=0,AG6,999)</x:f>
        <x:v>30</x:v>
      </x:c>
      <x:c r="AH30" s="18" t="n">
        <x:f>IF(AH29&lt;=0,AH6,999)</x:f>
        <x:v>31</x:v>
      </x:c>
      <x:c r="AI30" s="18" t="n">
        <x:f>IF(AI29&lt;=0,AI6,999)</x:f>
        <x:v>32</x:v>
      </x:c>
      <x:c r="AJ30" s="18" t="n">
        <x:f>IF(AJ29&lt;=0,AJ6,999)</x:f>
        <x:v>33</x:v>
      </x:c>
      <x:c r="AK30" s="18" t="n">
        <x:f>IF(AK29&lt;=0,AK6,999)</x:f>
        <x:v>34</x:v>
      </x:c>
      <x:c r="AL30" s="18" t="n">
        <x:f>IF(AL29&lt;=0,AL6,999)</x:f>
        <x:v>35</x:v>
      </x:c>
      <x:c r="AM30" s="18" t="n">
        <x:f>IF(AM29&lt;=0,AM6,999)</x:f>
        <x:v>36</x:v>
      </x:c>
    </x:row>
    <x:row r="31" ht="24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</x:row>
    <x:row r="32" ht="24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</x:row>
    <x:row r="33" ht="24" customHeight="1">
      <x:c r="A33" s="1"/>
      <x:c r="B33" s="1"/>
      <x:c r="C33" s="10" t="str">
        <x:v>Mês zero: R$ 30 mil aportados; R$ 23 mil alocados/consumidos (inclui contingência), R$ 7 mil em caixa.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</x:row>
    <x:row r="34" ht="24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</x:row>
    <x:row r="35" ht="24" customHeight="1">
      <x:c r="A35" s="1"/>
      <x:c r="B35" s="1"/>
      <x:c r="C35" s="10" t="str">
        <x:v>O capital de giro inclui estoque e recebíveis, sem crédito de fornecedores. Saldo negativo exige novo aporte.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</x:row>
    <x:row r="36" ht="24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</x:row>
    <x:row r="37" ht="24" customHeight="1">
      <x:c r="A37" s="1"/>
      <x:c r="B37" s="1"/>
      <x:c r="C37" s="10" t="str">
        <x:v>Payback: primeiro mês com caixa livre acumulado &gt;= investimento total; não usa venda de ativos ou resgate do estoque.</x:v>
      </x:c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</x:row>
    <x:row r="38" ht="24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</x:row>
    <x:row r="39" ht="24" customHeight="1">
      <x:c r="A39" s="1"/>
      <x:c r="B39" s="1"/>
      <x:c r="C39" s="10" t="str">
        <x:v>Caixa após taxas, perdas, pró-labore e reserva de reposições. Repasse iFood de 30 dias é hipótese.</x:v>
      </x:c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</x:row>
    <x:row r="40" ht="24" customHeight="1">
      <x:c r="A40" s="1"/>
      <x:c r="B40" s="1"/>
      <x:c r="C40" s="1" t="str">
        <x:v>Itens / mês</x:v>
      </x:c>
      <x:c r="D40" s="18" t="n">
        <x:f>D9*Cardapio!$J$16/100</x:f>
        <x:v>900.9000000000001</x:v>
      </x:c>
      <x:c r="E40" s="18" t="n">
        <x:f>E9*Cardapio!$J$16/100</x:f>
        <x:v>1146.6</x:v>
      </x:c>
      <x:c r="F40" s="18" t="n">
        <x:f>F9*Cardapio!$J$16/100</x:f>
        <x:v>1392.3</x:v>
      </x:c>
      <x:c r="G40" s="18" t="n">
        <x:f>G9*Cardapio!$J$16/100</x:f>
        <x:v>1638</x:v>
      </x:c>
      <x:c r="H40" s="18" t="n">
        <x:f>H9*Cardapio!$J$16/100</x:f>
        <x:v>1638</x:v>
      </x:c>
      <x:c r="I40" s="18" t="n">
        <x:f>I9*Cardapio!$J$16/100</x:f>
        <x:v>1638</x:v>
      </x:c>
      <x:c r="J40" s="18" t="n">
        <x:f>J9*Cardapio!$J$16/100</x:f>
        <x:v>1638</x:v>
      </x:c>
      <x:c r="K40" s="18" t="n">
        <x:f>K9*Cardapio!$J$16/100</x:f>
        <x:v>1638</x:v>
      </x:c>
      <x:c r="L40" s="18" t="n">
        <x:f>L9*Cardapio!$J$16/100</x:f>
        <x:v>1638</x:v>
      </x:c>
      <x:c r="M40" s="18" t="n">
        <x:f>M9*Cardapio!$J$16/100</x:f>
        <x:v>1638</x:v>
      </x:c>
      <x:c r="N40" s="18" t="n">
        <x:f>N9*Cardapio!$J$16/100</x:f>
        <x:v>1638</x:v>
      </x:c>
      <x:c r="O40" s="18" t="n">
        <x:f>O9*Cardapio!$J$16/100</x:f>
        <x:v>1638</x:v>
      </x:c>
      <x:c r="P40" s="18" t="n">
        <x:f>P9*Cardapio!$J$16/100</x:f>
        <x:v>1638</x:v>
      </x:c>
      <x:c r="Q40" s="18" t="n">
        <x:f>Q9*Cardapio!$J$16/100</x:f>
        <x:v>1638</x:v>
      </x:c>
      <x:c r="R40" s="18" t="n">
        <x:f>R9*Cardapio!$J$16/100</x:f>
        <x:v>1638</x:v>
      </x:c>
      <x:c r="S40" s="18" t="n">
        <x:f>S9*Cardapio!$J$16/100</x:f>
        <x:v>1638</x:v>
      </x:c>
      <x:c r="T40" s="18" t="n">
        <x:f>T9*Cardapio!$J$16/100</x:f>
        <x:v>1638</x:v>
      </x:c>
      <x:c r="U40" s="18" t="n">
        <x:f>U9*Cardapio!$J$16/100</x:f>
        <x:v>1638</x:v>
      </x:c>
      <x:c r="V40" s="18" t="n">
        <x:f>V9*Cardapio!$J$16/100</x:f>
        <x:v>1638</x:v>
      </x:c>
      <x:c r="W40" s="18" t="n">
        <x:f>W9*Cardapio!$J$16/100</x:f>
        <x:v>1638</x:v>
      </x:c>
      <x:c r="X40" s="18" t="n">
        <x:f>X9*Cardapio!$J$16/100</x:f>
        <x:v>1638</x:v>
      </x:c>
      <x:c r="Y40" s="18" t="n">
        <x:f>Y9*Cardapio!$J$16/100</x:f>
        <x:v>1638</x:v>
      </x:c>
      <x:c r="Z40" s="18" t="n">
        <x:f>Z9*Cardapio!$J$16/100</x:f>
        <x:v>1638</x:v>
      </x:c>
      <x:c r="AA40" s="18" t="n">
        <x:f>AA9*Cardapio!$J$16/100</x:f>
        <x:v>1638</x:v>
      </x:c>
      <x:c r="AB40" s="18" t="n">
        <x:f>AB9*Cardapio!$J$16/100</x:f>
        <x:v>1638</x:v>
      </x:c>
      <x:c r="AC40" s="18" t="n">
        <x:f>AC9*Cardapio!$J$16/100</x:f>
        <x:v>1638</x:v>
      </x:c>
      <x:c r="AD40" s="18" t="n">
        <x:f>AD9*Cardapio!$J$16/100</x:f>
        <x:v>1638</x:v>
      </x:c>
      <x:c r="AE40" s="18" t="n">
        <x:f>AE9*Cardapio!$J$16/100</x:f>
        <x:v>1638</x:v>
      </x:c>
      <x:c r="AF40" s="18" t="n">
        <x:f>AF9*Cardapio!$J$16/100</x:f>
        <x:v>1638</x:v>
      </x:c>
      <x:c r="AG40" s="18" t="n">
        <x:f>AG9*Cardapio!$J$16/100</x:f>
        <x:v>1638</x:v>
      </x:c>
      <x:c r="AH40" s="18" t="n">
        <x:f>AH9*Cardapio!$J$16/100</x:f>
        <x:v>1638</x:v>
      </x:c>
      <x:c r="AI40" s="18" t="n">
        <x:f>AI9*Cardapio!$J$16/100</x:f>
        <x:v>1638</x:v>
      </x:c>
      <x:c r="AJ40" s="18" t="n">
        <x:f>AJ9*Cardapio!$J$16/100</x:f>
        <x:v>1638</x:v>
      </x:c>
      <x:c r="AK40" s="18" t="n">
        <x:f>AK9*Cardapio!$J$16/100</x:f>
        <x:v>1638</x:v>
      </x:c>
      <x:c r="AL40" s="18" t="n">
        <x:f>AL9*Cardapio!$J$16/100</x:f>
        <x:v>1638</x:v>
      </x:c>
      <x:c r="AM40" s="18" t="n">
        <x:f>AM9*Cardapio!$J$16/100</x:f>
        <x:v>1638</x:v>
      </x:c>
    </x:row>
    <x:row r="41" ht="24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</x:row>
    <x:row r="42" ht="24" customHeight="1">
      <x:c r="A42" s="1"/>
      <x:c r="B42" s="1"/>
      <x:c r="C42" s="1" t="str">
        <x:v>Pedidos balcão / mês</x:v>
      </x:c>
      <x:c r="D42" s="18" t="n">
        <x:f>D9-D43</x:f>
        <x:v>643.5000000000001</x:v>
      </x:c>
      <x:c r="E42" s="18" t="n">
        <x:f>E9-E43</x:f>
        <x:v>818.9999999999999</x:v>
      </x:c>
      <x:c r="F42" s="18" t="n">
        <x:f>F9-F43</x:f>
        <x:v>994.5</x:v>
      </x:c>
      <x:c r="G42" s="18" t="n">
        <x:f>G9-G43</x:f>
        <x:v>936</x:v>
      </x:c>
      <x:c r="H42" s="18" t="n">
        <x:f>H9-H43</x:f>
        <x:v>936</x:v>
      </x:c>
      <x:c r="I42" s="18" t="n">
        <x:f>I9-I43</x:f>
        <x:v>936</x:v>
      </x:c>
      <x:c r="J42" s="18" t="n">
        <x:f>J9-J43</x:f>
        <x:v>936</x:v>
      </x:c>
      <x:c r="K42" s="18" t="n">
        <x:f>K9-K43</x:f>
        <x:v>936</x:v>
      </x:c>
      <x:c r="L42" s="18" t="n">
        <x:f>L9-L43</x:f>
        <x:v>936</x:v>
      </x:c>
      <x:c r="M42" s="18" t="n">
        <x:f>M9-M43</x:f>
        <x:v>936</x:v>
      </x:c>
      <x:c r="N42" s="18" t="n">
        <x:f>N9-N43</x:f>
        <x:v>936</x:v>
      </x:c>
      <x:c r="O42" s="18" t="n">
        <x:f>O9-O43</x:f>
        <x:v>936</x:v>
      </x:c>
      <x:c r="P42" s="18" t="n">
        <x:f>P9-P43</x:f>
        <x:v>936</x:v>
      </x:c>
      <x:c r="Q42" s="18" t="n">
        <x:f>Q9-Q43</x:f>
        <x:v>936</x:v>
      </x:c>
      <x:c r="R42" s="18" t="n">
        <x:f>R9-R43</x:f>
        <x:v>936</x:v>
      </x:c>
      <x:c r="S42" s="18" t="n">
        <x:f>S9-S43</x:f>
        <x:v>936</x:v>
      </x:c>
      <x:c r="T42" s="18" t="n">
        <x:f>T9-T43</x:f>
        <x:v>936</x:v>
      </x:c>
      <x:c r="U42" s="18" t="n">
        <x:f>U9-U43</x:f>
        <x:v>936</x:v>
      </x:c>
      <x:c r="V42" s="18" t="n">
        <x:f>V9-V43</x:f>
        <x:v>936</x:v>
      </x:c>
      <x:c r="W42" s="18" t="n">
        <x:f>W9-W43</x:f>
        <x:v>936</x:v>
      </x:c>
      <x:c r="X42" s="18" t="n">
        <x:f>X9-X43</x:f>
        <x:v>936</x:v>
      </x:c>
      <x:c r="Y42" s="18" t="n">
        <x:f>Y9-Y43</x:f>
        <x:v>936</x:v>
      </x:c>
      <x:c r="Z42" s="18" t="n">
        <x:f>Z9-Z43</x:f>
        <x:v>936</x:v>
      </x:c>
      <x:c r="AA42" s="18" t="n">
        <x:f>AA9-AA43</x:f>
        <x:v>936</x:v>
      </x:c>
      <x:c r="AB42" s="18" t="n">
        <x:f>AB9-AB43</x:f>
        <x:v>936</x:v>
      </x:c>
      <x:c r="AC42" s="18" t="n">
        <x:f>AC9-AC43</x:f>
        <x:v>936</x:v>
      </x:c>
      <x:c r="AD42" s="18" t="n">
        <x:f>AD9-AD43</x:f>
        <x:v>936</x:v>
      </x:c>
      <x:c r="AE42" s="18" t="n">
        <x:f>AE9-AE43</x:f>
        <x:v>936</x:v>
      </x:c>
      <x:c r="AF42" s="18" t="n">
        <x:f>AF9-AF43</x:f>
        <x:v>936</x:v>
      </x:c>
      <x:c r="AG42" s="18" t="n">
        <x:f>AG9-AG43</x:f>
        <x:v>936</x:v>
      </x:c>
      <x:c r="AH42" s="18" t="n">
        <x:f>AH9-AH43</x:f>
        <x:v>936</x:v>
      </x:c>
      <x:c r="AI42" s="18" t="n">
        <x:f>AI9-AI43</x:f>
        <x:v>936</x:v>
      </x:c>
      <x:c r="AJ42" s="18" t="n">
        <x:f>AJ9-AJ43</x:f>
        <x:v>936</x:v>
      </x:c>
      <x:c r="AK42" s="18" t="n">
        <x:f>AK9-AK43</x:f>
        <x:v>936</x:v>
      </x:c>
      <x:c r="AL42" s="18" t="n">
        <x:f>AL9-AL43</x:f>
        <x:v>936</x:v>
      </x:c>
      <x:c r="AM42" s="18" t="n">
        <x:f>AM9-AM43</x:f>
        <x:v>936</x:v>
      </x:c>
    </x:row>
    <x:row r="43" ht="24" customHeight="1">
      <x:c r="A43" s="1"/>
      <x:c r="B43" s="1"/>
      <x:c r="C43" s="1" t="str">
        <x:v>Pedidos iFood / mês</x:v>
      </x:c>
      <x:c r="D43" s="18" t="n">
        <x:f>IF(D6&gt;=Operacao!$D$96,D9*Operacao!$D$86,0)</x:f>
        <x:v>0</x:v>
      </x:c>
      <x:c r="E43" s="18" t="n">
        <x:f>IF(E6&gt;=Operacao!$D$96,E9*Operacao!$D$86,0)</x:f>
        <x:v>0</x:v>
      </x:c>
      <x:c r="F43" s="18" t="n">
        <x:f>IF(F6&gt;=Operacao!$D$96,F9*Operacao!$D$86,0)</x:f>
        <x:v>0</x:v>
      </x:c>
      <x:c r="G43" s="18" t="n">
        <x:f>IF(G6&gt;=Operacao!$D$96,G9*Operacao!$D$86,0)</x:f>
        <x:v>234</x:v>
      </x:c>
      <x:c r="H43" s="18" t="n">
        <x:f>IF(H6&gt;=Operacao!$D$96,H9*Operacao!$D$86,0)</x:f>
        <x:v>234</x:v>
      </x:c>
      <x:c r="I43" s="18" t="n">
        <x:f>IF(I6&gt;=Operacao!$D$96,I9*Operacao!$D$86,0)</x:f>
        <x:v>234</x:v>
      </x:c>
      <x:c r="J43" s="18" t="n">
        <x:f>IF(J6&gt;=Operacao!$D$96,J9*Operacao!$D$86,0)</x:f>
        <x:v>234</x:v>
      </x:c>
      <x:c r="K43" s="18" t="n">
        <x:f>IF(K6&gt;=Operacao!$D$96,K9*Operacao!$D$86,0)</x:f>
        <x:v>234</x:v>
      </x:c>
      <x:c r="L43" s="18" t="n">
        <x:f>IF(L6&gt;=Operacao!$D$96,L9*Operacao!$D$86,0)</x:f>
        <x:v>234</x:v>
      </x:c>
      <x:c r="M43" s="18" t="n">
        <x:f>IF(M6&gt;=Operacao!$D$96,M9*Operacao!$D$86,0)</x:f>
        <x:v>234</x:v>
      </x:c>
      <x:c r="N43" s="18" t="n">
        <x:f>IF(N6&gt;=Operacao!$D$96,N9*Operacao!$D$86,0)</x:f>
        <x:v>234</x:v>
      </x:c>
      <x:c r="O43" s="18" t="n">
        <x:f>IF(O6&gt;=Operacao!$D$96,O9*Operacao!$D$86,0)</x:f>
        <x:v>234</x:v>
      </x:c>
      <x:c r="P43" s="18" t="n">
        <x:f>IF(P6&gt;=Operacao!$D$96,P9*Operacao!$D$86,0)</x:f>
        <x:v>234</x:v>
      </x:c>
      <x:c r="Q43" s="18" t="n">
        <x:f>IF(Q6&gt;=Operacao!$D$96,Q9*Operacao!$D$86,0)</x:f>
        <x:v>234</x:v>
      </x:c>
      <x:c r="R43" s="18" t="n">
        <x:f>IF(R6&gt;=Operacao!$D$96,R9*Operacao!$D$86,0)</x:f>
        <x:v>234</x:v>
      </x:c>
      <x:c r="S43" s="18" t="n">
        <x:f>IF(S6&gt;=Operacao!$D$96,S9*Operacao!$D$86,0)</x:f>
        <x:v>234</x:v>
      </x:c>
      <x:c r="T43" s="18" t="n">
        <x:f>IF(T6&gt;=Operacao!$D$96,T9*Operacao!$D$86,0)</x:f>
        <x:v>234</x:v>
      </x:c>
      <x:c r="U43" s="18" t="n">
        <x:f>IF(U6&gt;=Operacao!$D$96,U9*Operacao!$D$86,0)</x:f>
        <x:v>234</x:v>
      </x:c>
      <x:c r="V43" s="18" t="n">
        <x:f>IF(V6&gt;=Operacao!$D$96,V9*Operacao!$D$86,0)</x:f>
        <x:v>234</x:v>
      </x:c>
      <x:c r="W43" s="18" t="n">
        <x:f>IF(W6&gt;=Operacao!$D$96,W9*Operacao!$D$86,0)</x:f>
        <x:v>234</x:v>
      </x:c>
      <x:c r="X43" s="18" t="n">
        <x:f>IF(X6&gt;=Operacao!$D$96,X9*Operacao!$D$86,0)</x:f>
        <x:v>234</x:v>
      </x:c>
      <x:c r="Y43" s="18" t="n">
        <x:f>IF(Y6&gt;=Operacao!$D$96,Y9*Operacao!$D$86,0)</x:f>
        <x:v>234</x:v>
      </x:c>
      <x:c r="Z43" s="18" t="n">
        <x:f>IF(Z6&gt;=Operacao!$D$96,Z9*Operacao!$D$86,0)</x:f>
        <x:v>234</x:v>
      </x:c>
      <x:c r="AA43" s="18" t="n">
        <x:f>IF(AA6&gt;=Operacao!$D$96,AA9*Operacao!$D$86,0)</x:f>
        <x:v>234</x:v>
      </x:c>
      <x:c r="AB43" s="18" t="n">
        <x:f>IF(AB6&gt;=Operacao!$D$96,AB9*Operacao!$D$86,0)</x:f>
        <x:v>234</x:v>
      </x:c>
      <x:c r="AC43" s="18" t="n">
        <x:f>IF(AC6&gt;=Operacao!$D$96,AC9*Operacao!$D$86,0)</x:f>
        <x:v>234</x:v>
      </x:c>
      <x:c r="AD43" s="18" t="n">
        <x:f>IF(AD6&gt;=Operacao!$D$96,AD9*Operacao!$D$86,0)</x:f>
        <x:v>234</x:v>
      </x:c>
      <x:c r="AE43" s="18" t="n">
        <x:f>IF(AE6&gt;=Operacao!$D$96,AE9*Operacao!$D$86,0)</x:f>
        <x:v>234</x:v>
      </x:c>
      <x:c r="AF43" s="18" t="n">
        <x:f>IF(AF6&gt;=Operacao!$D$96,AF9*Operacao!$D$86,0)</x:f>
        <x:v>234</x:v>
      </x:c>
      <x:c r="AG43" s="18" t="n">
        <x:f>IF(AG6&gt;=Operacao!$D$96,AG9*Operacao!$D$86,0)</x:f>
        <x:v>234</x:v>
      </x:c>
      <x:c r="AH43" s="18" t="n">
        <x:f>IF(AH6&gt;=Operacao!$D$96,AH9*Operacao!$D$86,0)</x:f>
        <x:v>234</x:v>
      </x:c>
      <x:c r="AI43" s="18" t="n">
        <x:f>IF(AI6&gt;=Operacao!$D$96,AI9*Operacao!$D$86,0)</x:f>
        <x:v>234</x:v>
      </x:c>
      <x:c r="AJ43" s="18" t="n">
        <x:f>IF(AJ6&gt;=Operacao!$D$96,AJ9*Operacao!$D$86,0)</x:f>
        <x:v>234</x:v>
      </x:c>
      <x:c r="AK43" s="18" t="n">
        <x:f>IF(AK6&gt;=Operacao!$D$96,AK9*Operacao!$D$86,0)</x:f>
        <x:v>234</x:v>
      </x:c>
      <x:c r="AL43" s="18" t="n">
        <x:f>IF(AL6&gt;=Operacao!$D$96,AL9*Operacao!$D$86,0)</x:f>
        <x:v>234</x:v>
      </x:c>
      <x:c r="AM43" s="18" t="n">
        <x:f>IF(AM6&gt;=Operacao!$D$96,AM9*Operacao!$D$86,0)</x:f>
        <x:v>234</x:v>
      </x:c>
    </x:row>
    <x:row r="44" ht="24" customHeight="1">
      <x:c r="A44" s="1"/>
      <x:c r="B44" s="1"/>
      <x:c r="C44" s="1" t="str">
        <x:v>Receita balcão</x:v>
      </x:c>
      <x:c r="D44" s="2" t="n">
        <x:f>D42*Cardapio!$D$18*Premissas!$D$25</x:f>
        <x:v>16505.775</x:v>
      </x:c>
      <x:c r="E44" s="2" t="n">
        <x:f>E42*Cardapio!$D$18*Premissas!$D$25</x:f>
        <x:v>21007.349999999995</x:v>
      </x:c>
      <x:c r="F44" s="2" t="n">
        <x:f>F42*Cardapio!$D$18*Premissas!$D$25</x:f>
        <x:v>25508.925</x:v>
      </x:c>
      <x:c r="G44" s="2" t="n">
        <x:f>G42*Cardapio!$D$18*Premissas!$D$25</x:f>
        <x:v>24008.399999999998</x:v>
      </x:c>
      <x:c r="H44" s="2" t="n">
        <x:f>H42*Cardapio!$D$18*Premissas!$D$25</x:f>
        <x:v>24008.399999999998</x:v>
      </x:c>
      <x:c r="I44" s="2" t="n">
        <x:f>I42*Cardapio!$D$18*Premissas!$D$25</x:f>
        <x:v>24008.399999999998</x:v>
      </x:c>
      <x:c r="J44" s="2" t="n">
        <x:f>J42*Cardapio!$D$18*Premissas!$D$25</x:f>
        <x:v>24008.399999999998</x:v>
      </x:c>
      <x:c r="K44" s="2" t="n">
        <x:f>K42*Cardapio!$D$18*Premissas!$D$25</x:f>
        <x:v>24008.399999999998</x:v>
      </x:c>
      <x:c r="L44" s="2" t="n">
        <x:f>L42*Cardapio!$D$18*Premissas!$D$25</x:f>
        <x:v>24008.399999999998</x:v>
      </x:c>
      <x:c r="M44" s="2" t="n">
        <x:f>M42*Cardapio!$D$18*Premissas!$D$25</x:f>
        <x:v>24008.399999999998</x:v>
      </x:c>
      <x:c r="N44" s="2" t="n">
        <x:f>N42*Cardapio!$D$18*Premissas!$D$25</x:f>
        <x:v>24008.399999999998</x:v>
      </x:c>
      <x:c r="O44" s="2" t="n">
        <x:f>O42*Cardapio!$D$18*Premissas!$D$25</x:f>
        <x:v>24008.399999999998</x:v>
      </x:c>
      <x:c r="P44" s="2" t="n">
        <x:f>P42*Cardapio!$D$18*Premissas!$D$25</x:f>
        <x:v>24008.399999999998</x:v>
      </x:c>
      <x:c r="Q44" s="2" t="n">
        <x:f>Q42*Cardapio!$D$18*Premissas!$D$25</x:f>
        <x:v>24008.399999999998</x:v>
      </x:c>
      <x:c r="R44" s="2" t="n">
        <x:f>R42*Cardapio!$D$18*Premissas!$D$25</x:f>
        <x:v>24008.399999999998</x:v>
      </x:c>
      <x:c r="S44" s="2" t="n">
        <x:f>S42*Cardapio!$D$18*Premissas!$D$25</x:f>
        <x:v>24008.399999999998</x:v>
      </x:c>
      <x:c r="T44" s="2" t="n">
        <x:f>T42*Cardapio!$D$18*Premissas!$D$25</x:f>
        <x:v>24008.399999999998</x:v>
      </x:c>
      <x:c r="U44" s="2" t="n">
        <x:f>U42*Cardapio!$D$18*Premissas!$D$25</x:f>
        <x:v>24008.399999999998</x:v>
      </x:c>
      <x:c r="V44" s="2" t="n">
        <x:f>V42*Cardapio!$D$18*Premissas!$D$25</x:f>
        <x:v>24008.399999999998</x:v>
      </x:c>
      <x:c r="W44" s="2" t="n">
        <x:f>W42*Cardapio!$D$18*Premissas!$D$25</x:f>
        <x:v>24008.399999999998</x:v>
      </x:c>
      <x:c r="X44" s="2" t="n">
        <x:f>X42*Cardapio!$D$18*Premissas!$D$25</x:f>
        <x:v>24008.399999999998</x:v>
      </x:c>
      <x:c r="Y44" s="2" t="n">
        <x:f>Y42*Cardapio!$D$18*Premissas!$D$25</x:f>
        <x:v>24008.399999999998</x:v>
      </x:c>
      <x:c r="Z44" s="2" t="n">
        <x:f>Z42*Cardapio!$D$18*Premissas!$D$25</x:f>
        <x:v>24008.399999999998</x:v>
      </x:c>
      <x:c r="AA44" s="2" t="n">
        <x:f>AA42*Cardapio!$D$18*Premissas!$D$25</x:f>
        <x:v>24008.399999999998</x:v>
      </x:c>
      <x:c r="AB44" s="2" t="n">
        <x:f>AB42*Cardapio!$D$18*Premissas!$D$25</x:f>
        <x:v>24008.399999999998</x:v>
      </x:c>
      <x:c r="AC44" s="2" t="n">
        <x:f>AC42*Cardapio!$D$18*Premissas!$D$25</x:f>
        <x:v>24008.399999999998</x:v>
      </x:c>
      <x:c r="AD44" s="2" t="n">
        <x:f>AD42*Cardapio!$D$18*Premissas!$D$25</x:f>
        <x:v>24008.399999999998</x:v>
      </x:c>
      <x:c r="AE44" s="2" t="n">
        <x:f>AE42*Cardapio!$D$18*Premissas!$D$25</x:f>
        <x:v>24008.399999999998</x:v>
      </x:c>
      <x:c r="AF44" s="2" t="n">
        <x:f>AF42*Cardapio!$D$18*Premissas!$D$25</x:f>
        <x:v>24008.399999999998</x:v>
      </x:c>
      <x:c r="AG44" s="2" t="n">
        <x:f>AG42*Cardapio!$D$18*Premissas!$D$25</x:f>
        <x:v>24008.399999999998</x:v>
      </x:c>
      <x:c r="AH44" s="2" t="n">
        <x:f>AH42*Cardapio!$D$18*Premissas!$D$25</x:f>
        <x:v>24008.399999999998</x:v>
      </x:c>
      <x:c r="AI44" s="2" t="n">
        <x:f>AI42*Cardapio!$D$18*Premissas!$D$25</x:f>
        <x:v>24008.399999999998</x:v>
      </x:c>
      <x:c r="AJ44" s="2" t="n">
        <x:f>AJ42*Cardapio!$D$18*Premissas!$D$25</x:f>
        <x:v>24008.399999999998</x:v>
      </x:c>
      <x:c r="AK44" s="2" t="n">
        <x:f>AK42*Cardapio!$D$18*Premissas!$D$25</x:f>
        <x:v>24008.399999999998</x:v>
      </x:c>
      <x:c r="AL44" s="2" t="n">
        <x:f>AL42*Cardapio!$D$18*Premissas!$D$25</x:f>
        <x:v>24008.399999999998</x:v>
      </x:c>
      <x:c r="AM44" s="2" t="n">
        <x:f>AM42*Cardapio!$D$18*Premissas!$D$25</x:f>
        <x:v>24008.399999999998</x:v>
      </x:c>
    </x:row>
    <x:row r="45" ht="24" customHeight="1">
      <x:c r="A45" s="1"/>
      <x:c r="B45" s="1"/>
      <x:c r="C45" s="1" t="str">
        <x:v>Receita iFood antes das comissões</x:v>
      </x:c>
      <x:c r="D45" s="2" t="n">
        <x:f>D43*Cardapio!$D$18*Premissas!$D$25*Operacao!$D$87</x:f>
        <x:v>0</x:v>
      </x:c>
      <x:c r="E45" s="2" t="n">
        <x:f>E43*Cardapio!$D$18*Premissas!$D$25*Operacao!$D$87</x:f>
        <x:v>0</x:v>
      </x:c>
      <x:c r="F45" s="2" t="n">
        <x:f>F43*Cardapio!$D$18*Premissas!$D$25*Operacao!$D$87</x:f>
        <x:v>0</x:v>
      </x:c>
      <x:c r="G45" s="2" t="n">
        <x:f>G43*Cardapio!$D$18*Premissas!$D$25*Operacao!$D$87</x:f>
        <x:v>7202.5199999999995</x:v>
      </x:c>
      <x:c r="H45" s="2" t="n">
        <x:f>H43*Cardapio!$D$18*Premissas!$D$25*Operacao!$D$87</x:f>
        <x:v>7202.5199999999995</x:v>
      </x:c>
      <x:c r="I45" s="2" t="n">
        <x:f>I43*Cardapio!$D$18*Premissas!$D$25*Operacao!$D$87</x:f>
        <x:v>7202.5199999999995</x:v>
      </x:c>
      <x:c r="J45" s="2" t="n">
        <x:f>J43*Cardapio!$D$18*Premissas!$D$25*Operacao!$D$87</x:f>
        <x:v>7202.5199999999995</x:v>
      </x:c>
      <x:c r="K45" s="2" t="n">
        <x:f>K43*Cardapio!$D$18*Premissas!$D$25*Operacao!$D$87</x:f>
        <x:v>7202.5199999999995</x:v>
      </x:c>
      <x:c r="L45" s="2" t="n">
        <x:f>L43*Cardapio!$D$18*Premissas!$D$25*Operacao!$D$87</x:f>
        <x:v>7202.5199999999995</x:v>
      </x:c>
      <x:c r="M45" s="2" t="n">
        <x:f>M43*Cardapio!$D$18*Premissas!$D$25*Operacao!$D$87</x:f>
        <x:v>7202.5199999999995</x:v>
      </x:c>
      <x:c r="N45" s="2" t="n">
        <x:f>N43*Cardapio!$D$18*Premissas!$D$25*Operacao!$D$87</x:f>
        <x:v>7202.5199999999995</x:v>
      </x:c>
      <x:c r="O45" s="2" t="n">
        <x:f>O43*Cardapio!$D$18*Premissas!$D$25*Operacao!$D$87</x:f>
        <x:v>7202.5199999999995</x:v>
      </x:c>
      <x:c r="P45" s="2" t="n">
        <x:f>P43*Cardapio!$D$18*Premissas!$D$25*Operacao!$D$87</x:f>
        <x:v>7202.5199999999995</x:v>
      </x:c>
      <x:c r="Q45" s="2" t="n">
        <x:f>Q43*Cardapio!$D$18*Premissas!$D$25*Operacao!$D$87</x:f>
        <x:v>7202.5199999999995</x:v>
      </x:c>
      <x:c r="R45" s="2" t="n">
        <x:f>R43*Cardapio!$D$18*Premissas!$D$25*Operacao!$D$87</x:f>
        <x:v>7202.5199999999995</x:v>
      </x:c>
      <x:c r="S45" s="2" t="n">
        <x:f>S43*Cardapio!$D$18*Premissas!$D$25*Operacao!$D$87</x:f>
        <x:v>7202.5199999999995</x:v>
      </x:c>
      <x:c r="T45" s="2" t="n">
        <x:f>T43*Cardapio!$D$18*Premissas!$D$25*Operacao!$D$87</x:f>
        <x:v>7202.5199999999995</x:v>
      </x:c>
      <x:c r="U45" s="2" t="n">
        <x:f>U43*Cardapio!$D$18*Premissas!$D$25*Operacao!$D$87</x:f>
        <x:v>7202.5199999999995</x:v>
      </x:c>
      <x:c r="V45" s="2" t="n">
        <x:f>V43*Cardapio!$D$18*Premissas!$D$25*Operacao!$D$87</x:f>
        <x:v>7202.5199999999995</x:v>
      </x:c>
      <x:c r="W45" s="2" t="n">
        <x:f>W43*Cardapio!$D$18*Premissas!$D$25*Operacao!$D$87</x:f>
        <x:v>7202.5199999999995</x:v>
      </x:c>
      <x:c r="X45" s="2" t="n">
        <x:f>X43*Cardapio!$D$18*Premissas!$D$25*Operacao!$D$87</x:f>
        <x:v>7202.5199999999995</x:v>
      </x:c>
      <x:c r="Y45" s="2" t="n">
        <x:f>Y43*Cardapio!$D$18*Premissas!$D$25*Operacao!$D$87</x:f>
        <x:v>7202.5199999999995</x:v>
      </x:c>
      <x:c r="Z45" s="2" t="n">
        <x:f>Z43*Cardapio!$D$18*Premissas!$D$25*Operacao!$D$87</x:f>
        <x:v>7202.5199999999995</x:v>
      </x:c>
      <x:c r="AA45" s="2" t="n">
        <x:f>AA43*Cardapio!$D$18*Premissas!$D$25*Operacao!$D$87</x:f>
        <x:v>7202.5199999999995</x:v>
      </x:c>
      <x:c r="AB45" s="2" t="n">
        <x:f>AB43*Cardapio!$D$18*Premissas!$D$25*Operacao!$D$87</x:f>
        <x:v>7202.5199999999995</x:v>
      </x:c>
      <x:c r="AC45" s="2" t="n">
        <x:f>AC43*Cardapio!$D$18*Premissas!$D$25*Operacao!$D$87</x:f>
        <x:v>7202.5199999999995</x:v>
      </x:c>
      <x:c r="AD45" s="2" t="n">
        <x:f>AD43*Cardapio!$D$18*Premissas!$D$25*Operacao!$D$87</x:f>
        <x:v>7202.5199999999995</x:v>
      </x:c>
      <x:c r="AE45" s="2" t="n">
        <x:f>AE43*Cardapio!$D$18*Premissas!$D$25*Operacao!$D$87</x:f>
        <x:v>7202.5199999999995</x:v>
      </x:c>
      <x:c r="AF45" s="2" t="n">
        <x:f>AF43*Cardapio!$D$18*Premissas!$D$25*Operacao!$D$87</x:f>
        <x:v>7202.5199999999995</x:v>
      </x:c>
      <x:c r="AG45" s="2" t="n">
        <x:f>AG43*Cardapio!$D$18*Premissas!$D$25*Operacao!$D$87</x:f>
        <x:v>7202.5199999999995</x:v>
      </x:c>
      <x:c r="AH45" s="2" t="n">
        <x:f>AH43*Cardapio!$D$18*Premissas!$D$25*Operacao!$D$87</x:f>
        <x:v>7202.5199999999995</x:v>
      </x:c>
      <x:c r="AI45" s="2" t="n">
        <x:f>AI43*Cardapio!$D$18*Premissas!$D$25*Operacao!$D$87</x:f>
        <x:v>7202.5199999999995</x:v>
      </x:c>
      <x:c r="AJ45" s="2" t="n">
        <x:f>AJ43*Cardapio!$D$18*Premissas!$D$25*Operacao!$D$87</x:f>
        <x:v>7202.5199999999995</x:v>
      </x:c>
      <x:c r="AK45" s="2" t="n">
        <x:f>AK43*Cardapio!$D$18*Premissas!$D$25*Operacao!$D$87</x:f>
        <x:v>7202.5199999999995</x:v>
      </x:c>
      <x:c r="AL45" s="2" t="n">
        <x:f>AL43*Cardapio!$D$18*Premissas!$D$25*Operacao!$D$87</x:f>
        <x:v>7202.5199999999995</x:v>
      </x:c>
      <x:c r="AM45" s="2" t="n">
        <x:f>AM43*Cardapio!$D$18*Premissas!$D$25*Operacao!$D$87</x:f>
        <x:v>7202.5199999999995</x:v>
      </x:c>
    </x:row>
    <x:row r="46" ht="24" customHeight="1">
      <x:c r="A46" s="1"/>
      <x:c r="B46" s="1"/>
      <x:c r="C46" s="1" t="str">
        <x:v>Comissões e pagamento iFood</x:v>
      </x:c>
      <x:c r="D46" s="2" t="n">
        <x:f>D45*SUM(Operacao!$D$88:$D$89)</x:f>
        <x:v>0</x:v>
      </x:c>
      <x:c r="E46" s="2" t="n">
        <x:f>E45*SUM(Operacao!$D$88:$D$89)</x:f>
        <x:v>0</x:v>
      </x:c>
      <x:c r="F46" s="2" t="n">
        <x:f>F45*SUM(Operacao!$D$88:$D$89)</x:f>
        <x:v>0</x:v>
      </x:c>
      <x:c r="G46" s="2" t="n">
        <x:f>G45*SUM(Operacao!$D$88:$D$89)</x:f>
        <x:v>1908.6678</x:v>
      </x:c>
      <x:c r="H46" s="2" t="n">
        <x:f>H45*SUM(Operacao!$D$88:$D$89)</x:f>
        <x:v>1908.6678</x:v>
      </x:c>
      <x:c r="I46" s="2" t="n">
        <x:f>I45*SUM(Operacao!$D$88:$D$89)</x:f>
        <x:v>1908.6678</x:v>
      </x:c>
      <x:c r="J46" s="2" t="n">
        <x:f>J45*SUM(Operacao!$D$88:$D$89)</x:f>
        <x:v>1908.6678</x:v>
      </x:c>
      <x:c r="K46" s="2" t="n">
        <x:f>K45*SUM(Operacao!$D$88:$D$89)</x:f>
        <x:v>1908.6678</x:v>
      </x:c>
      <x:c r="L46" s="2" t="n">
        <x:f>L45*SUM(Operacao!$D$88:$D$89)</x:f>
        <x:v>1908.6678</x:v>
      </x:c>
      <x:c r="M46" s="2" t="n">
        <x:f>M45*SUM(Operacao!$D$88:$D$89)</x:f>
        <x:v>1908.6678</x:v>
      </x:c>
      <x:c r="N46" s="2" t="n">
        <x:f>N45*SUM(Operacao!$D$88:$D$89)</x:f>
        <x:v>1908.6678</x:v>
      </x:c>
      <x:c r="O46" s="2" t="n">
        <x:f>O45*SUM(Operacao!$D$88:$D$89)</x:f>
        <x:v>1908.6678</x:v>
      </x:c>
      <x:c r="P46" s="2" t="n">
        <x:f>P45*SUM(Operacao!$D$88:$D$89)</x:f>
        <x:v>1908.6678</x:v>
      </x:c>
      <x:c r="Q46" s="2" t="n">
        <x:f>Q45*SUM(Operacao!$D$88:$D$89)</x:f>
        <x:v>1908.6678</x:v>
      </x:c>
      <x:c r="R46" s="2" t="n">
        <x:f>R45*SUM(Operacao!$D$88:$D$89)</x:f>
        <x:v>1908.6678</x:v>
      </x:c>
      <x:c r="S46" s="2" t="n">
        <x:f>S45*SUM(Operacao!$D$88:$D$89)</x:f>
        <x:v>1908.6678</x:v>
      </x:c>
      <x:c r="T46" s="2" t="n">
        <x:f>T45*SUM(Operacao!$D$88:$D$89)</x:f>
        <x:v>1908.6678</x:v>
      </x:c>
      <x:c r="U46" s="2" t="n">
        <x:f>U45*SUM(Operacao!$D$88:$D$89)</x:f>
        <x:v>1908.6678</x:v>
      </x:c>
      <x:c r="V46" s="2" t="n">
        <x:f>V45*SUM(Operacao!$D$88:$D$89)</x:f>
        <x:v>1908.6678</x:v>
      </x:c>
      <x:c r="W46" s="2" t="n">
        <x:f>W45*SUM(Operacao!$D$88:$D$89)</x:f>
        <x:v>1908.6678</x:v>
      </x:c>
      <x:c r="X46" s="2" t="n">
        <x:f>X45*SUM(Operacao!$D$88:$D$89)</x:f>
        <x:v>1908.6678</x:v>
      </x:c>
      <x:c r="Y46" s="2" t="n">
        <x:f>Y45*SUM(Operacao!$D$88:$D$89)</x:f>
        <x:v>1908.6678</x:v>
      </x:c>
      <x:c r="Z46" s="2" t="n">
        <x:f>Z45*SUM(Operacao!$D$88:$D$89)</x:f>
        <x:v>1908.6678</x:v>
      </x:c>
      <x:c r="AA46" s="2" t="n">
        <x:f>AA45*SUM(Operacao!$D$88:$D$89)</x:f>
        <x:v>1908.6678</x:v>
      </x:c>
      <x:c r="AB46" s="2" t="n">
        <x:f>AB45*SUM(Operacao!$D$88:$D$89)</x:f>
        <x:v>1908.6678</x:v>
      </x:c>
      <x:c r="AC46" s="2" t="n">
        <x:f>AC45*SUM(Operacao!$D$88:$D$89)</x:f>
        <x:v>1908.6678</x:v>
      </x:c>
      <x:c r="AD46" s="2" t="n">
        <x:f>AD45*SUM(Operacao!$D$88:$D$89)</x:f>
        <x:v>1908.6678</x:v>
      </x:c>
      <x:c r="AE46" s="2" t="n">
        <x:f>AE45*SUM(Operacao!$D$88:$D$89)</x:f>
        <x:v>1908.6678</x:v>
      </x:c>
      <x:c r="AF46" s="2" t="n">
        <x:f>AF45*SUM(Operacao!$D$88:$D$89)</x:f>
        <x:v>1908.6678</x:v>
      </x:c>
      <x:c r="AG46" s="2" t="n">
        <x:f>AG45*SUM(Operacao!$D$88:$D$89)</x:f>
        <x:v>1908.6678</x:v>
      </x:c>
      <x:c r="AH46" s="2" t="n">
        <x:f>AH45*SUM(Operacao!$D$88:$D$89)</x:f>
        <x:v>1908.6678</x:v>
      </x:c>
      <x:c r="AI46" s="2" t="n">
        <x:f>AI45*SUM(Operacao!$D$88:$D$89)</x:f>
        <x:v>1908.6678</x:v>
      </x:c>
      <x:c r="AJ46" s="2" t="n">
        <x:f>AJ45*SUM(Operacao!$D$88:$D$89)</x:f>
        <x:v>1908.6678</x:v>
      </x:c>
      <x:c r="AK46" s="2" t="n">
        <x:f>AK45*SUM(Operacao!$D$88:$D$89)</x:f>
        <x:v>1908.6678</x:v>
      </x:c>
      <x:c r="AL46" s="2" t="n">
        <x:f>AL45*SUM(Operacao!$D$88:$D$89)</x:f>
        <x:v>1908.6678</x:v>
      </x:c>
      <x:c r="AM46" s="2" t="n">
        <x:f>AM45*SUM(Operacao!$D$88:$D$89)</x:f>
        <x:v>1908.6678</x:v>
      </x:c>
    </x:row>
    <x:row r="47" ht="24" customHeight="1">
      <x:c r="A47" s="1"/>
      <x:c r="B47" s="1"/>
      <x:c r="C47" s="1" t="str">
        <x:v>Mensalidade iFood</x:v>
      </x:c>
      <x:c r="D47" s="2" t="n">
        <x:f>IF(D45&gt;Operacao!$D$91,Operacao!$D$90,0)</x:f>
        <x:v>0</x:v>
      </x:c>
      <x:c r="E47" s="2" t="n">
        <x:f>IF(E45&gt;Operacao!$D$91,Operacao!$D$90,0)</x:f>
        <x:v>0</x:v>
      </x:c>
      <x:c r="F47" s="2" t="n">
        <x:f>IF(F45&gt;Operacao!$D$91,Operacao!$D$90,0)</x:f>
        <x:v>0</x:v>
      </x:c>
      <x:c r="G47" s="2" t="n">
        <x:f>IF(G45&gt;Operacao!$D$91,Operacao!$D$90,0)</x:f>
        <x:v>150</x:v>
      </x:c>
      <x:c r="H47" s="2" t="n">
        <x:f>IF(H45&gt;Operacao!$D$91,Operacao!$D$90,0)</x:f>
        <x:v>150</x:v>
      </x:c>
      <x:c r="I47" s="2" t="n">
        <x:f>IF(I45&gt;Operacao!$D$91,Operacao!$D$90,0)</x:f>
        <x:v>150</x:v>
      </x:c>
      <x:c r="J47" s="2" t="n">
        <x:f>IF(J45&gt;Operacao!$D$91,Operacao!$D$90,0)</x:f>
        <x:v>150</x:v>
      </x:c>
      <x:c r="K47" s="2" t="n">
        <x:f>IF(K45&gt;Operacao!$D$91,Operacao!$D$90,0)</x:f>
        <x:v>150</x:v>
      </x:c>
      <x:c r="L47" s="2" t="n">
        <x:f>IF(L45&gt;Operacao!$D$91,Operacao!$D$90,0)</x:f>
        <x:v>150</x:v>
      </x:c>
      <x:c r="M47" s="2" t="n">
        <x:f>IF(M45&gt;Operacao!$D$91,Operacao!$D$90,0)</x:f>
        <x:v>150</x:v>
      </x:c>
      <x:c r="N47" s="2" t="n">
        <x:f>IF(N45&gt;Operacao!$D$91,Operacao!$D$90,0)</x:f>
        <x:v>150</x:v>
      </x:c>
      <x:c r="O47" s="2" t="n">
        <x:f>IF(O45&gt;Operacao!$D$91,Operacao!$D$90,0)</x:f>
        <x:v>150</x:v>
      </x:c>
      <x:c r="P47" s="2" t="n">
        <x:f>IF(P45&gt;Operacao!$D$91,Operacao!$D$90,0)</x:f>
        <x:v>150</x:v>
      </x:c>
      <x:c r="Q47" s="2" t="n">
        <x:f>IF(Q45&gt;Operacao!$D$91,Operacao!$D$90,0)</x:f>
        <x:v>150</x:v>
      </x:c>
      <x:c r="R47" s="2" t="n">
        <x:f>IF(R45&gt;Operacao!$D$91,Operacao!$D$90,0)</x:f>
        <x:v>150</x:v>
      </x:c>
      <x:c r="S47" s="2" t="n">
        <x:f>IF(S45&gt;Operacao!$D$91,Operacao!$D$90,0)</x:f>
        <x:v>150</x:v>
      </x:c>
      <x:c r="T47" s="2" t="n">
        <x:f>IF(T45&gt;Operacao!$D$91,Operacao!$D$90,0)</x:f>
        <x:v>150</x:v>
      </x:c>
      <x:c r="U47" s="2" t="n">
        <x:f>IF(U45&gt;Operacao!$D$91,Operacao!$D$90,0)</x:f>
        <x:v>150</x:v>
      </x:c>
      <x:c r="V47" s="2" t="n">
        <x:f>IF(V45&gt;Operacao!$D$91,Operacao!$D$90,0)</x:f>
        <x:v>150</x:v>
      </x:c>
      <x:c r="W47" s="2" t="n">
        <x:f>IF(W45&gt;Operacao!$D$91,Operacao!$D$90,0)</x:f>
        <x:v>150</x:v>
      </x:c>
      <x:c r="X47" s="2" t="n">
        <x:f>IF(X45&gt;Operacao!$D$91,Operacao!$D$90,0)</x:f>
        <x:v>150</x:v>
      </x:c>
      <x:c r="Y47" s="2" t="n">
        <x:f>IF(Y45&gt;Operacao!$D$91,Operacao!$D$90,0)</x:f>
        <x:v>150</x:v>
      </x:c>
      <x:c r="Z47" s="2" t="n">
        <x:f>IF(Z45&gt;Operacao!$D$91,Operacao!$D$90,0)</x:f>
        <x:v>150</x:v>
      </x:c>
      <x:c r="AA47" s="2" t="n">
        <x:f>IF(AA45&gt;Operacao!$D$91,Operacao!$D$90,0)</x:f>
        <x:v>150</x:v>
      </x:c>
      <x:c r="AB47" s="2" t="n">
        <x:f>IF(AB45&gt;Operacao!$D$91,Operacao!$D$90,0)</x:f>
        <x:v>150</x:v>
      </x:c>
      <x:c r="AC47" s="2" t="n">
        <x:f>IF(AC45&gt;Operacao!$D$91,Operacao!$D$90,0)</x:f>
        <x:v>150</x:v>
      </x:c>
      <x:c r="AD47" s="2" t="n">
        <x:f>IF(AD45&gt;Operacao!$D$91,Operacao!$D$90,0)</x:f>
        <x:v>150</x:v>
      </x:c>
      <x:c r="AE47" s="2" t="n">
        <x:f>IF(AE45&gt;Operacao!$D$91,Operacao!$D$90,0)</x:f>
        <x:v>150</x:v>
      </x:c>
      <x:c r="AF47" s="2" t="n">
        <x:f>IF(AF45&gt;Operacao!$D$91,Operacao!$D$90,0)</x:f>
        <x:v>150</x:v>
      </x:c>
      <x:c r="AG47" s="2" t="n">
        <x:f>IF(AG45&gt;Operacao!$D$91,Operacao!$D$90,0)</x:f>
        <x:v>150</x:v>
      </x:c>
      <x:c r="AH47" s="2" t="n">
        <x:f>IF(AH45&gt;Operacao!$D$91,Operacao!$D$90,0)</x:f>
        <x:v>150</x:v>
      </x:c>
      <x:c r="AI47" s="2" t="n">
        <x:f>IF(AI45&gt;Operacao!$D$91,Operacao!$D$90,0)</x:f>
        <x:v>150</x:v>
      </x:c>
      <x:c r="AJ47" s="2" t="n">
        <x:f>IF(AJ45&gt;Operacao!$D$91,Operacao!$D$90,0)</x:f>
        <x:v>150</x:v>
      </x:c>
      <x:c r="AK47" s="2" t="n">
        <x:f>IF(AK45&gt;Operacao!$D$91,Operacao!$D$90,0)</x:f>
        <x:v>150</x:v>
      </x:c>
      <x:c r="AL47" s="2" t="n">
        <x:f>IF(AL45&gt;Operacao!$D$91,Operacao!$D$90,0)</x:f>
        <x:v>150</x:v>
      </x:c>
      <x:c r="AM47" s="2" t="n">
        <x:f>IF(AM45&gt;Operacao!$D$91,Operacao!$D$90,0)</x:f>
        <x:v>150</x:v>
      </x:c>
    </x:row>
    <x:row r="48" ht="24" customHeight="1">
      <x:c r="A48" s="1"/>
      <x:c r="B48" s="1"/>
      <x:c r="C48" s="1" t="str">
        <x:v>Taxas de recebimento balcão</x:v>
      </x:c>
      <x:c r="D48" s="2" t="n">
        <x:f>D44*Premissas!$D$9</x:f>
        <x:v>330.11550000000005</x:v>
      </x:c>
      <x:c r="E48" s="2" t="n">
        <x:f>E44*Premissas!$D$9</x:f>
        <x:v>420.14699999999993</x:v>
      </x:c>
      <x:c r="F48" s="2" t="n">
        <x:f>F44*Premissas!$D$9</x:f>
        <x:v>510.1785</x:v>
      </x:c>
      <x:c r="G48" s="2" t="n">
        <x:f>G44*Premissas!$D$9</x:f>
        <x:v>480.16799999999995</x:v>
      </x:c>
      <x:c r="H48" s="2" t="n">
        <x:f>H44*Premissas!$D$9</x:f>
        <x:v>480.16799999999995</x:v>
      </x:c>
      <x:c r="I48" s="2" t="n">
        <x:f>I44*Premissas!$D$9</x:f>
        <x:v>480.16799999999995</x:v>
      </x:c>
      <x:c r="J48" s="2" t="n">
        <x:f>J44*Premissas!$D$9</x:f>
        <x:v>480.16799999999995</x:v>
      </x:c>
      <x:c r="K48" s="2" t="n">
        <x:f>K44*Premissas!$D$9</x:f>
        <x:v>480.16799999999995</x:v>
      </x:c>
      <x:c r="L48" s="2" t="n">
        <x:f>L44*Premissas!$D$9</x:f>
        <x:v>480.16799999999995</x:v>
      </x:c>
      <x:c r="M48" s="2" t="n">
        <x:f>M44*Premissas!$D$9</x:f>
        <x:v>480.16799999999995</x:v>
      </x:c>
      <x:c r="N48" s="2" t="n">
        <x:f>N44*Premissas!$D$9</x:f>
        <x:v>480.16799999999995</x:v>
      </x:c>
      <x:c r="O48" s="2" t="n">
        <x:f>O44*Premissas!$D$9</x:f>
        <x:v>480.16799999999995</x:v>
      </x:c>
      <x:c r="P48" s="2" t="n">
        <x:f>P44*Premissas!$D$9</x:f>
        <x:v>480.16799999999995</x:v>
      </x:c>
      <x:c r="Q48" s="2" t="n">
        <x:f>Q44*Premissas!$D$9</x:f>
        <x:v>480.16799999999995</x:v>
      </x:c>
      <x:c r="R48" s="2" t="n">
        <x:f>R44*Premissas!$D$9</x:f>
        <x:v>480.16799999999995</x:v>
      </x:c>
      <x:c r="S48" s="2" t="n">
        <x:f>S44*Premissas!$D$9</x:f>
        <x:v>480.16799999999995</x:v>
      </x:c>
      <x:c r="T48" s="2" t="n">
        <x:f>T44*Premissas!$D$9</x:f>
        <x:v>480.16799999999995</x:v>
      </x:c>
      <x:c r="U48" s="2" t="n">
        <x:f>U44*Premissas!$D$9</x:f>
        <x:v>480.16799999999995</x:v>
      </x:c>
      <x:c r="V48" s="2" t="n">
        <x:f>V44*Premissas!$D$9</x:f>
        <x:v>480.16799999999995</x:v>
      </x:c>
      <x:c r="W48" s="2" t="n">
        <x:f>W44*Premissas!$D$9</x:f>
        <x:v>480.16799999999995</x:v>
      </x:c>
      <x:c r="X48" s="2" t="n">
        <x:f>X44*Premissas!$D$9</x:f>
        <x:v>480.16799999999995</x:v>
      </x:c>
      <x:c r="Y48" s="2" t="n">
        <x:f>Y44*Premissas!$D$9</x:f>
        <x:v>480.16799999999995</x:v>
      </x:c>
      <x:c r="Z48" s="2" t="n">
        <x:f>Z44*Premissas!$D$9</x:f>
        <x:v>480.16799999999995</x:v>
      </x:c>
      <x:c r="AA48" s="2" t="n">
        <x:f>AA44*Premissas!$D$9</x:f>
        <x:v>480.16799999999995</x:v>
      </x:c>
      <x:c r="AB48" s="2" t="n">
        <x:f>AB44*Premissas!$D$9</x:f>
        <x:v>480.16799999999995</x:v>
      </x:c>
      <x:c r="AC48" s="2" t="n">
        <x:f>AC44*Premissas!$D$9</x:f>
        <x:v>480.16799999999995</x:v>
      </x:c>
      <x:c r="AD48" s="2" t="n">
        <x:f>AD44*Premissas!$D$9</x:f>
        <x:v>480.16799999999995</x:v>
      </x:c>
      <x:c r="AE48" s="2" t="n">
        <x:f>AE44*Premissas!$D$9</x:f>
        <x:v>480.16799999999995</x:v>
      </x:c>
      <x:c r="AF48" s="2" t="n">
        <x:f>AF44*Premissas!$D$9</x:f>
        <x:v>480.16799999999995</x:v>
      </x:c>
      <x:c r="AG48" s="2" t="n">
        <x:f>AG44*Premissas!$D$9</x:f>
        <x:v>480.16799999999995</x:v>
      </x:c>
      <x:c r="AH48" s="2" t="n">
        <x:f>AH44*Premissas!$D$9</x:f>
        <x:v>480.16799999999995</x:v>
      </x:c>
      <x:c r="AI48" s="2" t="n">
        <x:f>AI44*Premissas!$D$9</x:f>
        <x:v>480.16799999999995</x:v>
      </x:c>
      <x:c r="AJ48" s="2" t="n">
        <x:f>AJ44*Premissas!$D$9</x:f>
        <x:v>480.16799999999995</x:v>
      </x:c>
      <x:c r="AK48" s="2" t="n">
        <x:f>AK44*Premissas!$D$9</x:f>
        <x:v>480.16799999999995</x:v>
      </x:c>
      <x:c r="AL48" s="2" t="n">
        <x:f>AL44*Premissas!$D$9</x:f>
        <x:v>480.16799999999995</x:v>
      </x:c>
      <x:c r="AM48" s="2" t="n">
        <x:f>AM44*Premissas!$D$9</x:f>
        <x:v>480.16799999999995</x:v>
      </x:c>
    </x:row>
    <x:row r="49" ht="24" customHeight="1">
      <x:c r="A49" s="1"/>
      <x:c r="B49" s="1"/>
      <x:c r="C49" s="1" t="str">
        <x:v>Embalagem adicional delivery</x:v>
      </x:c>
      <x:c r="D49" s="2" t="n">
        <x:f>D43*Operacao!$D$92</x:f>
        <x:v>0</x:v>
      </x:c>
      <x:c r="E49" s="2" t="n">
        <x:f>E43*Operacao!$D$92</x:f>
        <x:v>0</x:v>
      </x:c>
      <x:c r="F49" s="2" t="n">
        <x:f>F43*Operacao!$D$92</x:f>
        <x:v>0</x:v>
      </x:c>
      <x:c r="G49" s="2" t="n">
        <x:f>G43*Operacao!$D$92</x:f>
        <x:v>351</x:v>
      </x:c>
      <x:c r="H49" s="2" t="n">
        <x:f>H43*Operacao!$D$92</x:f>
        <x:v>351</x:v>
      </x:c>
      <x:c r="I49" s="2" t="n">
        <x:f>I43*Operacao!$D$92</x:f>
        <x:v>351</x:v>
      </x:c>
      <x:c r="J49" s="2" t="n">
        <x:f>J43*Operacao!$D$92</x:f>
        <x:v>351</x:v>
      </x:c>
      <x:c r="K49" s="2" t="n">
        <x:f>K43*Operacao!$D$92</x:f>
        <x:v>351</x:v>
      </x:c>
      <x:c r="L49" s="2" t="n">
        <x:f>L43*Operacao!$D$92</x:f>
        <x:v>351</x:v>
      </x:c>
      <x:c r="M49" s="2" t="n">
        <x:f>M43*Operacao!$D$92</x:f>
        <x:v>351</x:v>
      </x:c>
      <x:c r="N49" s="2" t="n">
        <x:f>N43*Operacao!$D$92</x:f>
        <x:v>351</x:v>
      </x:c>
      <x:c r="O49" s="2" t="n">
        <x:f>O43*Operacao!$D$92</x:f>
        <x:v>351</x:v>
      </x:c>
      <x:c r="P49" s="2" t="n">
        <x:f>P43*Operacao!$D$92</x:f>
        <x:v>351</x:v>
      </x:c>
      <x:c r="Q49" s="2" t="n">
        <x:f>Q43*Operacao!$D$92</x:f>
        <x:v>351</x:v>
      </x:c>
      <x:c r="R49" s="2" t="n">
        <x:f>R43*Operacao!$D$92</x:f>
        <x:v>351</x:v>
      </x:c>
      <x:c r="S49" s="2" t="n">
        <x:f>S43*Operacao!$D$92</x:f>
        <x:v>351</x:v>
      </x:c>
      <x:c r="T49" s="2" t="n">
        <x:f>T43*Operacao!$D$92</x:f>
        <x:v>351</x:v>
      </x:c>
      <x:c r="U49" s="2" t="n">
        <x:f>U43*Operacao!$D$92</x:f>
        <x:v>351</x:v>
      </x:c>
      <x:c r="V49" s="2" t="n">
        <x:f>V43*Operacao!$D$92</x:f>
        <x:v>351</x:v>
      </x:c>
      <x:c r="W49" s="2" t="n">
        <x:f>W43*Operacao!$D$92</x:f>
        <x:v>351</x:v>
      </x:c>
      <x:c r="X49" s="2" t="n">
        <x:f>X43*Operacao!$D$92</x:f>
        <x:v>351</x:v>
      </x:c>
      <x:c r="Y49" s="2" t="n">
        <x:f>Y43*Operacao!$D$92</x:f>
        <x:v>351</x:v>
      </x:c>
      <x:c r="Z49" s="2" t="n">
        <x:f>Z43*Operacao!$D$92</x:f>
        <x:v>351</x:v>
      </x:c>
      <x:c r="AA49" s="2" t="n">
        <x:f>AA43*Operacao!$D$92</x:f>
        <x:v>351</x:v>
      </x:c>
      <x:c r="AB49" s="2" t="n">
        <x:f>AB43*Operacao!$D$92</x:f>
        <x:v>351</x:v>
      </x:c>
      <x:c r="AC49" s="2" t="n">
        <x:f>AC43*Operacao!$D$92</x:f>
        <x:v>351</x:v>
      </x:c>
      <x:c r="AD49" s="2" t="n">
        <x:f>AD43*Operacao!$D$92</x:f>
        <x:v>351</x:v>
      </x:c>
      <x:c r="AE49" s="2" t="n">
        <x:f>AE43*Operacao!$D$92</x:f>
        <x:v>351</x:v>
      </x:c>
      <x:c r="AF49" s="2" t="n">
        <x:f>AF43*Operacao!$D$92</x:f>
        <x:v>351</x:v>
      </x:c>
      <x:c r="AG49" s="2" t="n">
        <x:f>AG43*Operacao!$D$92</x:f>
        <x:v>351</x:v>
      </x:c>
      <x:c r="AH49" s="2" t="n">
        <x:f>AH43*Operacao!$D$92</x:f>
        <x:v>351</x:v>
      </x:c>
      <x:c r="AI49" s="2" t="n">
        <x:f>AI43*Operacao!$D$92</x:f>
        <x:v>351</x:v>
      </x:c>
      <x:c r="AJ49" s="2" t="n">
        <x:f>AJ43*Operacao!$D$92</x:f>
        <x:v>351</x:v>
      </x:c>
      <x:c r="AK49" s="2" t="n">
        <x:f>AK43*Operacao!$D$92</x:f>
        <x:v>351</x:v>
      </x:c>
      <x:c r="AL49" s="2" t="n">
        <x:f>AL43*Operacao!$D$92</x:f>
        <x:v>351</x:v>
      </x:c>
      <x:c r="AM49" s="2" t="n">
        <x:f>AM43*Operacao!$D$92</x:f>
        <x:v>351</x:v>
      </x:c>
    </x:row>
    <x:row r="50" ht="24" customHeight="1">
      <x:c r="A50" s="1"/>
      <x:c r="B50" s="1"/>
      <x:c r="C50" s="1" t="str">
        <x:v>Promoções e frete por conta da loja</x:v>
      </x:c>
      <x:c r="D50" s="2" t="n">
        <x:f>D45*Operacao!$D$94+D43*Operacao!$D$95</x:f>
        <x:v>0</x:v>
      </x:c>
      <x:c r="E50" s="2" t="n">
        <x:f>E45*Operacao!$D$94+E43*Operacao!$D$95</x:f>
        <x:v>0</x:v>
      </x:c>
      <x:c r="F50" s="2" t="n">
        <x:f>F45*Operacao!$D$94+F43*Operacao!$D$95</x:f>
        <x:v>0</x:v>
      </x:c>
      <x:c r="G50" s="2" t="n">
        <x:f>G45*Operacao!$D$94+G43*Operacao!$D$95</x:f>
        <x:v>0</x:v>
      </x:c>
      <x:c r="H50" s="2" t="n">
        <x:f>H45*Operacao!$D$94+H43*Operacao!$D$95</x:f>
        <x:v>0</x:v>
      </x:c>
      <x:c r="I50" s="2" t="n">
        <x:f>I45*Operacao!$D$94+I43*Operacao!$D$95</x:f>
        <x:v>0</x:v>
      </x:c>
      <x:c r="J50" s="2" t="n">
        <x:f>J45*Operacao!$D$94+J43*Operacao!$D$95</x:f>
        <x:v>0</x:v>
      </x:c>
      <x:c r="K50" s="2" t="n">
        <x:f>K45*Operacao!$D$94+K43*Operacao!$D$95</x:f>
        <x:v>0</x:v>
      </x:c>
      <x:c r="L50" s="2" t="n">
        <x:f>L45*Operacao!$D$94+L43*Operacao!$D$95</x:f>
        <x:v>0</x:v>
      </x:c>
      <x:c r="M50" s="2" t="n">
        <x:f>M45*Operacao!$D$94+M43*Operacao!$D$95</x:f>
        <x:v>0</x:v>
      </x:c>
      <x:c r="N50" s="2" t="n">
        <x:f>N45*Operacao!$D$94+N43*Operacao!$D$95</x:f>
        <x:v>0</x:v>
      </x:c>
      <x:c r="O50" s="2" t="n">
        <x:f>O45*Operacao!$D$94+O43*Operacao!$D$95</x:f>
        <x:v>0</x:v>
      </x:c>
      <x:c r="P50" s="2" t="n">
        <x:f>P45*Operacao!$D$94+P43*Operacao!$D$95</x:f>
        <x:v>0</x:v>
      </x:c>
      <x:c r="Q50" s="2" t="n">
        <x:f>Q45*Operacao!$D$94+Q43*Operacao!$D$95</x:f>
        <x:v>0</x:v>
      </x:c>
      <x:c r="R50" s="2" t="n">
        <x:f>R45*Operacao!$D$94+R43*Operacao!$D$95</x:f>
        <x:v>0</x:v>
      </x:c>
      <x:c r="S50" s="2" t="n">
        <x:f>S45*Operacao!$D$94+S43*Operacao!$D$95</x:f>
        <x:v>0</x:v>
      </x:c>
      <x:c r="T50" s="2" t="n">
        <x:f>T45*Operacao!$D$94+T43*Operacao!$D$95</x:f>
        <x:v>0</x:v>
      </x:c>
      <x:c r="U50" s="2" t="n">
        <x:f>U45*Operacao!$D$94+U43*Operacao!$D$95</x:f>
        <x:v>0</x:v>
      </x:c>
      <x:c r="V50" s="2" t="n">
        <x:f>V45*Operacao!$D$94+V43*Operacao!$D$95</x:f>
        <x:v>0</x:v>
      </x:c>
      <x:c r="W50" s="2" t="n">
        <x:f>W45*Operacao!$D$94+W43*Operacao!$D$95</x:f>
        <x:v>0</x:v>
      </x:c>
      <x:c r="X50" s="2" t="n">
        <x:f>X45*Operacao!$D$94+X43*Operacao!$D$95</x:f>
        <x:v>0</x:v>
      </x:c>
      <x:c r="Y50" s="2" t="n">
        <x:f>Y45*Operacao!$D$94+Y43*Operacao!$D$95</x:f>
        <x:v>0</x:v>
      </x:c>
      <x:c r="Z50" s="2" t="n">
        <x:f>Z45*Operacao!$D$94+Z43*Operacao!$D$95</x:f>
        <x:v>0</x:v>
      </x:c>
      <x:c r="AA50" s="2" t="n">
        <x:f>AA45*Operacao!$D$94+AA43*Operacao!$D$95</x:f>
        <x:v>0</x:v>
      </x:c>
      <x:c r="AB50" s="2" t="n">
        <x:f>AB45*Operacao!$D$94+AB43*Operacao!$D$95</x:f>
        <x:v>0</x:v>
      </x:c>
      <x:c r="AC50" s="2" t="n">
        <x:f>AC45*Operacao!$D$94+AC43*Operacao!$D$95</x:f>
        <x:v>0</x:v>
      </x:c>
      <x:c r="AD50" s="2" t="n">
        <x:f>AD45*Operacao!$D$94+AD43*Operacao!$D$95</x:f>
        <x:v>0</x:v>
      </x:c>
      <x:c r="AE50" s="2" t="n">
        <x:f>AE45*Operacao!$D$94+AE43*Operacao!$D$95</x:f>
        <x:v>0</x:v>
      </x:c>
      <x:c r="AF50" s="2" t="n">
        <x:f>AF45*Operacao!$D$94+AF43*Operacao!$D$95</x:f>
        <x:v>0</x:v>
      </x:c>
      <x:c r="AG50" s="2" t="n">
        <x:f>AG45*Operacao!$D$94+AG43*Operacao!$D$95</x:f>
        <x:v>0</x:v>
      </x:c>
      <x:c r="AH50" s="2" t="n">
        <x:f>AH45*Operacao!$D$94+AH43*Operacao!$D$95</x:f>
        <x:v>0</x:v>
      </x:c>
      <x:c r="AI50" s="2" t="n">
        <x:f>AI45*Operacao!$D$94+AI43*Operacao!$D$95</x:f>
        <x:v>0</x:v>
      </x:c>
      <x:c r="AJ50" s="2" t="n">
        <x:f>AJ45*Operacao!$D$94+AJ43*Operacao!$D$95</x:f>
        <x:v>0</x:v>
      </x:c>
      <x:c r="AK50" s="2" t="n">
        <x:f>AK45*Operacao!$D$94+AK43*Operacao!$D$95</x:f>
        <x:v>0</x:v>
      </x:c>
      <x:c r="AL50" s="2" t="n">
        <x:f>AL45*Operacao!$D$94+AL43*Operacao!$D$95</x:f>
        <x:v>0</x:v>
      </x:c>
      <x:c r="AM50" s="2" t="n">
        <x:f>AM45*Operacao!$D$94+AM43*Operacao!$D$95</x:f>
        <x:v>0</x:v>
      </x:c>
    </x:row>
    <x:row r="51" ht="24" customHeight="1">
      <x:c r="A51" s="1"/>
      <x:c r="B51" s="1"/>
      <x:c r="C51" s="1" t="str">
        <x:v>Recebíveis iFood líquidos de comissão</x:v>
      </x:c>
      <x:c r="D51" s="2" t="n">
        <x:f>D45*(1-SUM(Operacao!$D$88:$D$89))/Premissas!$D$14*Operacao!$D$93</x:f>
        <x:v>0</x:v>
      </x:c>
      <x:c r="E51" s="2" t="n">
        <x:f>E45*(1-SUM(Operacao!$D$88:$D$89))/Premissas!$D$14*Operacao!$D$93</x:f>
        <x:v>0</x:v>
      </x:c>
      <x:c r="F51" s="2" t="n">
        <x:f>F45*(1-SUM(Operacao!$D$88:$D$89))/Premissas!$D$14*Operacao!$D$93</x:f>
        <x:v>0</x:v>
      </x:c>
      <x:c r="G51" s="2" t="n">
        <x:f>G45*(1-SUM(Operacao!$D$88:$D$89))/Premissas!$D$14*Operacao!$D$93</x:f>
        <x:v>5293.852199999999</x:v>
      </x:c>
      <x:c r="H51" s="2" t="n">
        <x:f>H45*(1-SUM(Operacao!$D$88:$D$89))/Premissas!$D$14*Operacao!$D$93</x:f>
        <x:v>5293.852199999999</x:v>
      </x:c>
      <x:c r="I51" s="2" t="n">
        <x:f>I45*(1-SUM(Operacao!$D$88:$D$89))/Premissas!$D$14*Operacao!$D$93</x:f>
        <x:v>5293.852199999999</x:v>
      </x:c>
      <x:c r="J51" s="2" t="n">
        <x:f>J45*(1-SUM(Operacao!$D$88:$D$89))/Premissas!$D$14*Operacao!$D$93</x:f>
        <x:v>5293.852199999999</x:v>
      </x:c>
      <x:c r="K51" s="2" t="n">
        <x:f>K45*(1-SUM(Operacao!$D$88:$D$89))/Premissas!$D$14*Operacao!$D$93</x:f>
        <x:v>5293.852199999999</x:v>
      </x:c>
      <x:c r="L51" s="2" t="n">
        <x:f>L45*(1-SUM(Operacao!$D$88:$D$89))/Premissas!$D$14*Operacao!$D$93</x:f>
        <x:v>5293.852199999999</x:v>
      </x:c>
      <x:c r="M51" s="2" t="n">
        <x:f>M45*(1-SUM(Operacao!$D$88:$D$89))/Premissas!$D$14*Operacao!$D$93</x:f>
        <x:v>5293.852199999999</x:v>
      </x:c>
      <x:c r="N51" s="2" t="n">
        <x:f>N45*(1-SUM(Operacao!$D$88:$D$89))/Premissas!$D$14*Operacao!$D$93</x:f>
        <x:v>5293.852199999999</x:v>
      </x:c>
      <x:c r="O51" s="2" t="n">
        <x:f>O45*(1-SUM(Operacao!$D$88:$D$89))/Premissas!$D$14*Operacao!$D$93</x:f>
        <x:v>5293.852199999999</x:v>
      </x:c>
      <x:c r="P51" s="2" t="n">
        <x:f>P45*(1-SUM(Operacao!$D$88:$D$89))/Premissas!$D$14*Operacao!$D$93</x:f>
        <x:v>5293.852199999999</x:v>
      </x:c>
      <x:c r="Q51" s="2" t="n">
        <x:f>Q45*(1-SUM(Operacao!$D$88:$D$89))/Premissas!$D$14*Operacao!$D$93</x:f>
        <x:v>5293.852199999999</x:v>
      </x:c>
      <x:c r="R51" s="2" t="n">
        <x:f>R45*(1-SUM(Operacao!$D$88:$D$89))/Premissas!$D$14*Operacao!$D$93</x:f>
        <x:v>5293.852199999999</x:v>
      </x:c>
      <x:c r="S51" s="2" t="n">
        <x:f>S45*(1-SUM(Operacao!$D$88:$D$89))/Premissas!$D$14*Operacao!$D$93</x:f>
        <x:v>5293.852199999999</x:v>
      </x:c>
      <x:c r="T51" s="2" t="n">
        <x:f>T45*(1-SUM(Operacao!$D$88:$D$89))/Premissas!$D$14*Operacao!$D$93</x:f>
        <x:v>5293.852199999999</x:v>
      </x:c>
      <x:c r="U51" s="2" t="n">
        <x:f>U45*(1-SUM(Operacao!$D$88:$D$89))/Premissas!$D$14*Operacao!$D$93</x:f>
        <x:v>5293.852199999999</x:v>
      </x:c>
      <x:c r="V51" s="2" t="n">
        <x:f>V45*(1-SUM(Operacao!$D$88:$D$89))/Premissas!$D$14*Operacao!$D$93</x:f>
        <x:v>5293.852199999999</x:v>
      </x:c>
      <x:c r="W51" s="2" t="n">
        <x:f>W45*(1-SUM(Operacao!$D$88:$D$89))/Premissas!$D$14*Operacao!$D$93</x:f>
        <x:v>5293.852199999999</x:v>
      </x:c>
      <x:c r="X51" s="2" t="n">
        <x:f>X45*(1-SUM(Operacao!$D$88:$D$89))/Premissas!$D$14*Operacao!$D$93</x:f>
        <x:v>5293.852199999999</x:v>
      </x:c>
      <x:c r="Y51" s="2" t="n">
        <x:f>Y45*(1-SUM(Operacao!$D$88:$D$89))/Premissas!$D$14*Operacao!$D$93</x:f>
        <x:v>5293.852199999999</x:v>
      </x:c>
      <x:c r="Z51" s="2" t="n">
        <x:f>Z45*(1-SUM(Operacao!$D$88:$D$89))/Premissas!$D$14*Operacao!$D$93</x:f>
        <x:v>5293.852199999999</x:v>
      </x:c>
      <x:c r="AA51" s="2" t="n">
        <x:f>AA45*(1-SUM(Operacao!$D$88:$D$89))/Premissas!$D$14*Operacao!$D$93</x:f>
        <x:v>5293.852199999999</x:v>
      </x:c>
      <x:c r="AB51" s="2" t="n">
        <x:f>AB45*(1-SUM(Operacao!$D$88:$D$89))/Premissas!$D$14*Operacao!$D$93</x:f>
        <x:v>5293.852199999999</x:v>
      </x:c>
      <x:c r="AC51" s="2" t="n">
        <x:f>AC45*(1-SUM(Operacao!$D$88:$D$89))/Premissas!$D$14*Operacao!$D$93</x:f>
        <x:v>5293.852199999999</x:v>
      </x:c>
      <x:c r="AD51" s="2" t="n">
        <x:f>AD45*(1-SUM(Operacao!$D$88:$D$89))/Premissas!$D$14*Operacao!$D$93</x:f>
        <x:v>5293.852199999999</x:v>
      </x:c>
      <x:c r="AE51" s="2" t="n">
        <x:f>AE45*(1-SUM(Operacao!$D$88:$D$89))/Premissas!$D$14*Operacao!$D$93</x:f>
        <x:v>5293.852199999999</x:v>
      </x:c>
      <x:c r="AF51" s="2" t="n">
        <x:f>AF45*(1-SUM(Operacao!$D$88:$D$89))/Premissas!$D$14*Operacao!$D$93</x:f>
        <x:v>5293.852199999999</x:v>
      </x:c>
      <x:c r="AG51" s="2" t="n">
        <x:f>AG45*(1-SUM(Operacao!$D$88:$D$89))/Premissas!$D$14*Operacao!$D$93</x:f>
        <x:v>5293.852199999999</x:v>
      </x:c>
      <x:c r="AH51" s="2" t="n">
        <x:f>AH45*(1-SUM(Operacao!$D$88:$D$89))/Premissas!$D$14*Operacao!$D$93</x:f>
        <x:v>5293.852199999999</x:v>
      </x:c>
      <x:c r="AI51" s="2" t="n">
        <x:f>AI45*(1-SUM(Operacao!$D$88:$D$89))/Premissas!$D$14*Operacao!$D$93</x:f>
        <x:v>5293.852199999999</x:v>
      </x:c>
      <x:c r="AJ51" s="2" t="n">
        <x:f>AJ45*(1-SUM(Operacao!$D$88:$D$89))/Premissas!$D$14*Operacao!$D$93</x:f>
        <x:v>5293.852199999999</x:v>
      </x:c>
      <x:c r="AK51" s="2" t="n">
        <x:f>AK45*(1-SUM(Operacao!$D$88:$D$89))/Premissas!$D$14*Operacao!$D$93</x:f>
        <x:v>5293.852199999999</x:v>
      </x:c>
      <x:c r="AL51" s="2" t="n">
        <x:f>AL45*(1-SUM(Operacao!$D$88:$D$89))/Premissas!$D$14*Operacao!$D$93</x:f>
        <x:v>5293.852199999999</x:v>
      </x:c>
      <x:c r="AM51" s="2" t="n">
        <x:f>AM45*(1-SUM(Operacao!$D$88:$D$89))/Premissas!$D$14*Operacao!$D$93</x:f>
        <x:v>5293.852199999999</x:v>
      </x:c>
    </x:row>
    <x:row r="52" ht="24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</x:row>
    <x:row r="53" ht="24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</x:row>
    <x:row r="54" ht="24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</x:row>
    <x:row r="55" ht="24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</x:row>
    <x:row r="56" ht="24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</x:row>
    <x:row r="57" ht="24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</x:row>
    <x:row r="58" ht="24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</x:row>
    <x:row r="59" ht="24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</x:row>
    <x:row r="60" ht="24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</x:row>
    <x:row r="61" ht="24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</x:row>
    <x:row r="62" ht="24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</x:row>
    <x:row r="63" ht="24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</x:row>
    <x:row r="64" ht="24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</x:row>
    <x:row r="65" ht="24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</x:row>
    <x:row r="66" ht="24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</x:row>
    <x:row r="67" ht="24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</x:row>
    <x:row r="68" ht="24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</x:row>
    <x:row r="69" ht="24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</x:row>
    <x:row r="70" ht="24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</x:row>
    <x:row r="71" ht="24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2"/>
      <x:c r="AK71" s="2"/>
      <x:c r="AL71" s="2"/>
      <x:c r="AM71" s="2"/>
    </x:row>
    <x:row r="72" ht="24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</x:row>
    <x:row r="73" ht="24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</x:row>
    <x:row r="74" ht="24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</x:row>
    <x:row r="75" ht="24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</x:row>
    <x:row r="76" ht="24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</x:row>
    <x:row r="77" ht="24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</x:row>
    <x:row r="78" ht="24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</x:row>
    <x:row r="79" ht="24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</x:row>
    <x:row r="80" ht="24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</x:row>
    <x:row r="81" ht="24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</x:row>
    <x:row r="82" ht="24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</x:row>
    <x:row r="83" ht="24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</x:row>
    <x:row r="84" ht="24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</x:row>
    <x:row r="85" ht="24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80" hidden="0" customWidth="1"/>
  </x:cols>
  <x:sheetData>
    <x:row r="1" ht="25" customHeight="1"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C2" s="3" t="str">
        <x:v>fresh / Operacao</x:v>
      </x:c>
      <x:c r="D2" s="1"/>
      <x:c r="E2" s="1"/>
      <x:c r="F2" s="1"/>
      <x:c r="G2" s="1"/>
      <x:c r="H2" s="1"/>
      <x:c r="I2" s="1"/>
      <x:c r="J2" s="1"/>
    </x:row>
    <x:row r="3" ht="25" customHeight="1"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C4" s="1" t="str">
        <x:v>Cenário selecionado</x:v>
      </x:c>
      <x:c r="D4" s="1" t="str">
        <x:f>Premissas!D23</x:f>
        <x:v>Base de teste</x:v>
      </x:c>
      <x:c r="E4" s="1"/>
      <x:c r="F4" s="1"/>
      <x:c r="G4" s="1"/>
      <x:c r="H4" s="1"/>
      <x:c r="I4" s="1"/>
      <x:c r="J4" s="1"/>
    </x:row>
    <x:row r="5" ht="25" customHeight="1">
      <x:c r="C5" s="1"/>
      <x:c r="D5" s="1"/>
      <x:c r="E5" s="1"/>
      <x:c r="F5" s="1"/>
      <x:c r="G5" s="1"/>
      <x:c r="H5" s="1"/>
      <x:c r="I5" s="1"/>
      <x:c r="J5" s="1"/>
    </x:row>
    <x:row r="6" ht="40" customHeight="1">
      <x:c r="C6" s="34" t="str">
        <x:v>Faixa de horário</x:v>
      </x:c>
      <x:c r="D6" s="34" t="str">
        <x:v>Horas</x:v>
      </x:c>
      <x:c r="E6" s="34" t="str">
        <x:v>Conservador</x:v>
      </x:c>
      <x:c r="F6" s="34" t="str">
        <x:v>Base de teste</x:v>
      </x:c>
      <x:c r="G6" s="34" t="str">
        <x:v>Maior demanda</x:v>
      </x:c>
      <x:c r="H6" s="34" t="str">
        <x:v>Pedidos ativos</x:v>
      </x:c>
      <x:c r="I6" s="34" t="str">
        <x:v>Itens ativos</x:v>
      </x:c>
      <x:c r="J6" s="1"/>
    </x:row>
    <x:row r="7" ht="25" customHeight="1">
      <x:c r="C7" s="1" t="str">
        <x:v>06h–09h</x:v>
      </x:c>
      <x:c r="D7" s="1" t="n">
        <x:v>3</x:v>
      </x:c>
      <x:c r="E7" s="36" t="n">
        <x:v>9</x:v>
      </x:c>
      <x:c r="F7" s="36" t="n">
        <x:v>14</x:v>
      </x:c>
      <x:c r="G7" s="36" t="n">
        <x:v>18</x:v>
      </x:c>
      <x:c r="H7" s="1" t="n">
        <x:f>CHOOSE(Premissas!$D$4,E7,F7,G7)</x:f>
        <x:v>14</x:v>
      </x:c>
      <x:c r="I7" s="1" t="n">
        <x:f>H7*Cardapio!$J$16/100</x:f>
        <x:v>19.6</x:v>
      </x:c>
      <x:c r="J7" s="1"/>
    </x:row>
    <x:row r="8" ht="25" customHeight="1">
      <x:c r="C8" s="1" t="str">
        <x:v>09h–12h</x:v>
      </x:c>
      <x:c r="D8" s="1" t="n">
        <x:v>3</x:v>
      </x:c>
      <x:c r="E8" s="36" t="n">
        <x:v>4</x:v>
      </x:c>
      <x:c r="F8" s="36" t="n">
        <x:v>5</x:v>
      </x:c>
      <x:c r="G8" s="36" t="n">
        <x:v>7</x:v>
      </x:c>
      <x:c r="H8" s="1" t="n">
        <x:f>CHOOSE(Premissas!$D$4,E8,F8,G8)</x:f>
        <x:v>5</x:v>
      </x:c>
      <x:c r="I8" s="1" t="n">
        <x:f>H8*Cardapio!$J$16/100</x:f>
        <x:v>7</x:v>
      </x:c>
      <x:c r="J8" s="1"/>
    </x:row>
    <x:row r="9" ht="25" customHeight="1">
      <x:c r="C9" s="1" t="str">
        <x:v>12h–15h</x:v>
      </x:c>
      <x:c r="D9" s="1" t="n">
        <x:v>3</x:v>
      </x:c>
      <x:c r="E9" s="36" t="n">
        <x:v>5</x:v>
      </x:c>
      <x:c r="F9" s="36" t="n">
        <x:v>7</x:v>
      </x:c>
      <x:c r="G9" s="36" t="n">
        <x:v>9</x:v>
      </x:c>
      <x:c r="H9" s="1" t="n">
        <x:f>CHOOSE(Premissas!$D$4,E9,F9,G9)</x:f>
        <x:v>7</x:v>
      </x:c>
      <x:c r="I9" s="1" t="n">
        <x:f>H9*Cardapio!$J$16/100</x:f>
        <x:v>9.8</x:v>
      </x:c>
      <x:c r="J9" s="1"/>
    </x:row>
    <x:row r="10" ht="25" customHeight="1">
      <x:c r="C10" s="1" t="str">
        <x:v>15h–18h</x:v>
      </x:c>
      <x:c r="D10" s="1" t="n">
        <x:v>3</x:v>
      </x:c>
      <x:c r="E10" s="36" t="n">
        <x:v>8</x:v>
      </x:c>
      <x:c r="F10" s="36" t="n">
        <x:v>13</x:v>
      </x:c>
      <x:c r="G10" s="36" t="n">
        <x:v>18</x:v>
      </x:c>
      <x:c r="H10" s="1" t="n">
        <x:f>CHOOSE(Premissas!$D$4,E10,F10,G10)</x:f>
        <x:v>13</x:v>
      </x:c>
      <x:c r="I10" s="1" t="n">
        <x:f>H10*Cardapio!$J$16/100</x:f>
        <x:v>18.2</x:v>
      </x:c>
      <x:c r="J10" s="1"/>
    </x:row>
    <x:row r="11" ht="25" customHeight="1">
      <x:c r="C11" s="1" t="str">
        <x:v>18h–20h</x:v>
      </x:c>
      <x:c r="D11" s="1" t="n">
        <x:v>2</x:v>
      </x:c>
      <x:c r="E11" s="36" t="n">
        <x:v>4</x:v>
      </x:c>
      <x:c r="F11" s="36" t="n">
        <x:v>6</x:v>
      </x:c>
      <x:c r="G11" s="36" t="n">
        <x:v>8</x:v>
      </x:c>
      <x:c r="H11" s="1" t="n">
        <x:f>CHOOSE(Premissas!$D$4,E11,F11,G11)</x:f>
        <x:v>6</x:v>
      </x:c>
      <x:c r="I11" s="1" t="n">
        <x:f>H11*Cardapio!$J$16/100</x:f>
        <x:v>8.4</x:v>
      </x:c>
      <x:c r="J11" s="1"/>
    </x:row>
    <x:row r="12" ht="28" customHeight="1">
      <x:c r="C12" s="33" t="str">
        <x:v>Total por dia</x:v>
      </x:c>
      <x:c r="D12" s="33" t="n">
        <x:f>SUM(D7:D11)</x:f>
        <x:v>14</x:v>
      </x:c>
      <x:c r="E12" s="33" t="n">
        <x:f>SUM(E7:E11)</x:f>
        <x:v>30</x:v>
      </x:c>
      <x:c r="F12" s="33" t="n">
        <x:f>SUM(F7:F11)</x:f>
        <x:v>45</x:v>
      </x:c>
      <x:c r="G12" s="33" t="n">
        <x:f>SUM(G7:G11)</x:f>
        <x:v>60</x:v>
      </x:c>
      <x:c r="H12" s="33" t="n">
        <x:f>SUM(H7:H11)</x:f>
        <x:v>45</x:v>
      </x:c>
      <x:c r="I12" s="33" t="n">
        <x:f>SUM(I7:I11)</x:f>
        <x:v>63.00000000000001</x:v>
      </x:c>
      <x:c r="J12" s="1"/>
    </x:row>
    <x:row r="13" ht="25" customHeight="1">
      <x:c r="C13" s="1"/>
      <x:c r="D13" s="1"/>
      <x:c r="E13" s="1"/>
      <x:c r="F13" s="1"/>
      <x:c r="G13" s="1"/>
      <x:c r="H13" s="1"/>
      <x:c r="I13" s="1"/>
      <x:c r="J13" s="1"/>
    </x:row>
    <x:row r="14" ht="25" customHeight="1">
      <x:c r="C14" s="1" t="str">
        <x:v>Média de pedidos por hora</x:v>
      </x:c>
      <x:c r="D14" s="28" t="n">
        <x:f>H12/D12</x:f>
        <x:v>3.2142857142857144</x:v>
      </x:c>
      <x:c r="E14" s="1"/>
      <x:c r="F14" s="1"/>
      <x:c r="G14" s="1"/>
      <x:c r="H14" s="1"/>
      <x:c r="I14" s="1"/>
      <x:c r="J14" s="1"/>
    </x:row>
    <x:row r="15" ht="25" customHeight="1">
      <x:c r="C15" s="1"/>
      <x:c r="D15" s="1"/>
      <x:c r="E15" s="1"/>
      <x:c r="F15" s="1"/>
      <x:c r="G15" s="1"/>
      <x:c r="H15" s="1"/>
      <x:c r="I15" s="1"/>
      <x:c r="J15" s="1"/>
    </x:row>
    <x:row r="16" ht="25" customHeight="1">
      <x:c r="C16" s="1" t="str">
        <x:v>Metas hipotéticas por faixa, não contagem de fluxo nem previsão comprovada.</x:v>
      </x:c>
      <x:c r="D16" s="1"/>
      <x:c r="E16" s="1"/>
      <x:c r="F16" s="1"/>
      <x:c r="G16" s="1"/>
      <x:c r="H16" s="1"/>
      <x:c r="I16" s="1"/>
      <x:c r="J16" s="1"/>
    </x:row>
    <x:row r="17" ht="25" customHeight="1">
      <x:c r="C17" s="1"/>
      <x:c r="D17" s="1"/>
      <x:c r="E17" s="1"/>
      <x:c r="F17" s="1"/>
      <x:c r="G17" s="1"/>
      <x:c r="H17" s="1"/>
      <x:c r="I17" s="1"/>
      <x:c r="J17" s="1"/>
    </x:row>
    <x:row r="18" ht="28" customHeight="1">
      <x:c r="C18" s="33" t="str">
        <x:v>Custos das receitas</x:v>
      </x:c>
      <x:c r="D18" s="33"/>
      <x:c r="E18" s="33"/>
      <x:c r="F18" s="1"/>
      <x:c r="G18" s="1"/>
      <x:c r="H18" s="1"/>
      <x:c r="I18" s="1"/>
      <x:c r="J18" s="1"/>
    </x:row>
    <x:row r="19" ht="25" customHeight="1"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C20" s="1" t="str">
        <x:v>Tasty Whey Original / pote</x:v>
      </x:c>
      <x:c r="D20" s="37" t="n">
        <x:v>225.76</x:v>
      </x:c>
      <x:c r="E20" s="1"/>
      <x:c r="F20" s="1"/>
      <x:c r="G20" s="1"/>
      <x:c r="H20" s="1"/>
      <x:c r="I20" s="1"/>
      <x:c r="J20" s="1" t="str">
        <x:v>R$/pote 900 g, Drogasil, sem frete</x:v>
      </x:c>
    </x:row>
    <x:row r="21" ht="25" customHeight="1">
      <x:c r="C21" s="1" t="str">
        <x:v>Peso do pote</x:v>
      </x:c>
      <x:c r="D21" s="39" t="n">
        <x:v>0.9</x:v>
      </x:c>
      <x:c r="E21" s="1"/>
      <x:c r="F21" s="1"/>
      <x:c r="G21" s="1"/>
      <x:c r="H21" s="1"/>
      <x:c r="I21" s="1"/>
      <x:c r="J21" s="1" t="str">
        <x:v>kg</x:v>
      </x:c>
    </x:row>
    <x:row r="22" ht="25" customHeight="1">
      <x:c r="C22" s="1" t="str">
        <x:v>Whey por smoothie</x:v>
      </x:c>
      <x:c r="D22" s="39" t="n">
        <x:v>0.034</x:v>
      </x:c>
      <x:c r="E22" s="1"/>
      <x:c r="F22" s="1"/>
      <x:c r="G22" s="1"/>
      <x:c r="H22" s="1"/>
      <x:c r="I22" s="1"/>
      <x:c r="J22" s="1" t="str">
        <x:v>kg, equivalente a 2 scoops no rótulo consultado</x:v>
      </x:c>
    </x:row>
    <x:row r="23" ht="25" customHeight="1">
      <x:c r="C23" s="1" t="str">
        <x:v>Fruta, água e gelo / smoothie</x:v>
      </x:c>
      <x:c r="D23" s="37" t="n">
        <x:v>2.3</x:v>
      </x:c>
      <x:c r="E23" s="1"/>
      <x:c r="F23" s="1"/>
      <x:c r="G23" s="1"/>
      <x:c r="H23" s="1"/>
      <x:c r="I23" s="1"/>
      <x:c r="J23" s="1" t="str">
        <x:v>R$ 2,00 de fruta + R$ 0,30 água/gelo, estimados</x:v>
      </x:c>
    </x:row>
    <x:row r="24" ht="25" customHeight="1">
      <x:c r="C24" s="1" t="str">
        <x:v>Embalagem / smoothie</x:v>
      </x:c>
      <x:c r="D24" s="37" t="n">
        <x:v>1.05</x:v>
      </x:c>
      <x:c r="E24" s="1"/>
      <x:c r="F24" s="1"/>
      <x:c r="G24" s="1"/>
      <x:c r="H24" s="1"/>
      <x:c r="I24" s="1"/>
      <x:c r="J24" s="1" t="str">
        <x:v>R$/un, hipótese de copo, tampa e canudo</x:v>
      </x:c>
    </x:row>
    <x:row r="25" ht="25" customHeight="1">
      <x:c r="C25" s="1" t="str">
        <x:v>Whey / kg</x:v>
      </x:c>
      <x:c r="D25" s="14" t="n">
        <x:f>D20/D21</x:f>
        <x:v>250.84444444444443</x:v>
      </x:c>
      <x:c r="E25" s="1"/>
      <x:c r="F25" s="1"/>
      <x:c r="G25" s="1"/>
      <x:c r="H25" s="1"/>
      <x:c r="I25" s="1"/>
      <x:c r="J25" s="1"/>
    </x:row>
    <x:row r="26" ht="28" customHeight="1">
      <x:c r="C26" s="33" t="str">
        <x:v>Custo direto do smoothie</x:v>
      </x:c>
      <x:c r="D26" s="38" t="n">
        <x:f>D22*D25+D23+D24</x:f>
        <x:v>11.878711111111112</x:v>
      </x:c>
      <x:c r="E26" s="1"/>
      <x:c r="F26" s="1"/>
      <x:c r="G26" s="1"/>
      <x:c r="H26" s="1"/>
      <x:c r="I26" s="1"/>
      <x:c r="J26" s="1"/>
    </x:row>
    <x:row r="27" ht="25" customHeight="1">
      <x:c r="C27" s="1"/>
      <x:c r="D27" s="14"/>
      <x:c r="E27" s="1"/>
      <x:c r="F27" s="1"/>
      <x:c r="G27" s="1"/>
      <x:c r="H27" s="1"/>
      <x:c r="I27" s="1"/>
      <x:c r="J27" s="1"/>
    </x:row>
    <x:row r="28" ht="25" customHeight="1">
      <x:c r="C28" s="1"/>
      <x:c r="D28" s="14"/>
      <x:c r="E28" s="1"/>
      <x:c r="F28" s="1"/>
      <x:c r="G28" s="1"/>
      <x:c r="H28" s="1"/>
      <x:c r="I28" s="1"/>
      <x:c r="J28" s="1"/>
    </x:row>
    <x:row r="29" ht="25" customHeight="1">
      <x:c r="C29" s="1"/>
      <x:c r="D29" s="14"/>
      <x:c r="E29" s="1"/>
      <x:c r="F29" s="1"/>
      <x:c r="G29" s="1"/>
      <x:c r="H29" s="1"/>
      <x:c r="I29" s="1"/>
      <x:c r="J29" s="1"/>
    </x:row>
    <x:row r="30" ht="25" customHeight="1">
      <x:c r="C30" s="1" t="str">
        <x:v>Sorvete Me Encanta / embalagem</x:v>
      </x:c>
      <x:c r="D30" s="37" t="n">
        <x:v>170</x:v>
      </x:c>
      <x:c r="E30" s="1"/>
      <x:c r="F30" s="1"/>
      <x:c r="G30" s="1"/>
      <x:c r="H30" s="1"/>
      <x:c r="I30" s="1"/>
      <x:c r="J30" s="1" t="str">
        <x:v>Preço da tabela enviada pelo usuário; reconfirmar</x:v>
      </x:c>
    </x:row>
    <x:row r="31" ht="25" customHeight="1">
      <x:c r="C31" s="1" t="str">
        <x:v>Peso líquido do sorvete</x:v>
      </x:c>
      <x:c r="D31" s="39" t="n">
        <x:v>6.5</x:v>
      </x:c>
      <x:c r="E31" s="1"/>
      <x:c r="F31" s="1"/>
      <x:c r="G31" s="1"/>
      <x:c r="H31" s="1"/>
      <x:c r="I31" s="1"/>
      <x:c r="J31" s="1" t="str">
        <x:v>kg, embalagem informada de 10 litros</x:v>
      </x:c>
    </x:row>
    <x:row r="32" ht="25" customHeight="1">
      <x:c r="C32" s="1" t="str">
        <x:v>Sorvete por sobremesa</x:v>
      </x:c>
      <x:c r="D32" s="39" t="n">
        <x:v>0.15</x:v>
      </x:c>
      <x:c r="E32" s="1"/>
      <x:c r="F32" s="1"/>
      <x:c r="G32" s="1"/>
      <x:c r="H32" s="1"/>
      <x:c r="I32" s="1"/>
      <x:c r="J32" s="1" t="str">
        <x:v>kg</x:v>
      </x:c>
    </x:row>
    <x:row r="33" ht="25" customHeight="1">
      <x:c r="C33" s="1" t="str">
        <x:v>Frutas vermelhas</x:v>
      </x:c>
      <x:c r="D33" s="37" t="n">
        <x:v>40</x:v>
      </x:c>
      <x:c r="E33" s="1"/>
      <x:c r="F33" s="1"/>
      <x:c r="G33" s="1"/>
      <x:c r="H33" s="1"/>
      <x:c r="I33" s="1"/>
      <x:c r="J33" s="1" t="str">
        <x:v>R$/kg de fruta pronta, hipótese</x:v>
      </x:c>
    </x:row>
    <x:row r="34" ht="25" customHeight="1">
      <x:c r="C34" s="1" t="str">
        <x:v>Fruta por sobremesa</x:v>
      </x:c>
      <x:c r="D34" s="39" t="n">
        <x:v>0.05</x:v>
      </x:c>
      <x:c r="E34" s="1"/>
      <x:c r="F34" s="1"/>
      <x:c r="G34" s="1"/>
      <x:c r="H34" s="1"/>
      <x:c r="I34" s="1"/>
      <x:c r="J34" s="1" t="str">
        <x:v>kg</x:v>
      </x:c>
    </x:row>
    <x:row r="35" ht="25" customHeight="1">
      <x:c r="C35" s="1" t="str">
        <x:v>Granola</x:v>
      </x:c>
      <x:c r="D35" s="37" t="n">
        <x:v>60</x:v>
      </x:c>
      <x:c r="E35" s="1"/>
      <x:c r="F35" s="1"/>
      <x:c r="G35" s="1"/>
      <x:c r="H35" s="1"/>
      <x:c r="I35" s="1"/>
      <x:c r="J35" s="1" t="str">
        <x:v>R$/kg, hipótese</x:v>
      </x:c>
    </x:row>
    <x:row r="36" ht="25" customHeight="1">
      <x:c r="C36" s="1" t="str">
        <x:v>Granola por sobremesa</x:v>
      </x:c>
      <x:c r="D36" s="39" t="n">
        <x:v>0.01</x:v>
      </x:c>
      <x:c r="E36" s="1"/>
      <x:c r="F36" s="1"/>
      <x:c r="G36" s="1"/>
      <x:c r="H36" s="1"/>
      <x:c r="I36" s="1"/>
      <x:c r="J36" s="1" t="str">
        <x:v>kg</x:v>
      </x:c>
    </x:row>
    <x:row r="37" ht="25" customHeight="1">
      <x:c r="C37" s="1" t="str">
        <x:v>Pote e colher / sobremesa</x:v>
      </x:c>
      <x:c r="D37" s="37" t="n">
        <x:v>1.05</x:v>
      </x:c>
      <x:c r="E37" s="1"/>
      <x:c r="F37" s="1"/>
      <x:c r="G37" s="1"/>
      <x:c r="H37" s="1"/>
      <x:c r="I37" s="1"/>
      <x:c r="J37" s="1" t="str">
        <x:v>R$/un, hipótese</x:v>
      </x:c>
    </x:row>
    <x:row r="38" ht="28" customHeight="1">
      <x:c r="C38" s="33" t="str">
        <x:v>Custo direto da sobremesa</x:v>
      </x:c>
      <x:c r="D38" s="38" t="n">
        <x:f>D30/D31*D32+D33*D34+D35*D36+D37</x:f>
        <x:v>7.573076923076923</x:v>
      </x:c>
      <x:c r="E38" s="1"/>
      <x:c r="F38" s="1"/>
      <x:c r="G38" s="1"/>
      <x:c r="H38" s="1"/>
      <x:c r="I38" s="1"/>
      <x:c r="J38" s="1"/>
    </x:row>
    <x:row r="39" ht="25" customHeight="1"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C41" s="1"/>
      <x:c r="D41" s="1"/>
      <x:c r="E41" s="1"/>
      <x:c r="F41" s="1"/>
      <x:c r="G41" s="1"/>
      <x:c r="H41" s="1"/>
      <x:c r="I41" s="1"/>
      <x:c r="J41" s="1"/>
    </x:row>
    <x:row r="42" ht="40" customHeight="1">
      <x:c r="C42" s="34" t="str">
        <x:v>Teste de dosagem</x:v>
      </x:c>
      <x:c r="D42" s="34" t="str">
        <x:v>Scoops</x:v>
      </x:c>
      <x:c r="E42" s="34" t="str">
        <x:v>Gramas de pó</x:v>
      </x:c>
      <x:c r="F42" s="34" t="str">
        <x:v>Whey / copo</x:v>
      </x:c>
      <x:c r="G42" s="34" t="str">
        <x:v>Custo total</x:v>
      </x:c>
      <x:c r="H42" s="34" t="str">
        <x:v>Copos completos/pote</x:v>
      </x:c>
      <x:c r="I42" s="1"/>
      <x:c r="J42" s="1"/>
    </x:row>
    <x:row r="43" ht="25" customHeight="1">
      <x:c r="C43" s="1" t="str">
        <x:v>1 scoop</x:v>
      </x:c>
      <x:c r="D43" s="1" t="n">
        <x:v>1</x:v>
      </x:c>
      <x:c r="E43" s="1" t="n">
        <x:f>D43*17</x:f>
        <x:v>17</x:v>
      </x:c>
      <x:c r="F43" s="14" t="n">
        <x:f>E43/1000*$D$25</x:f>
        <x:v>4.2643555555555555</x:v>
      </x:c>
      <x:c r="G43" s="14" t="n">
        <x:f>F43+$D$23+$D$24</x:f>
        <x:v>7.614355555555555</x:v>
      </x:c>
      <x:c r="H43" s="1" t="n">
        <x:f>ROUNDDOWN($D$21*1000/E43,0)</x:f>
        <x:v>52</x:v>
      </x:c>
      <x:c r="I43" s="1"/>
      <x:c r="J43" s="1"/>
    </x:row>
    <x:row r="44" ht="25" customHeight="1">
      <x:c r="C44" s="1" t="str">
        <x:v>1,5 scoops</x:v>
      </x:c>
      <x:c r="D44" s="1" t="n">
        <x:v>1.5</x:v>
      </x:c>
      <x:c r="E44" s="1" t="n">
        <x:f>D44*17</x:f>
        <x:v>25.5</x:v>
      </x:c>
      <x:c r="F44" s="14" t="n">
        <x:f>E44/1000*$D$25</x:f>
        <x:v>6.396533333333332</x:v>
      </x:c>
      <x:c r="G44" s="14" t="n">
        <x:f>F44+$D$23+$D$24</x:f>
        <x:v>9.746533333333332</x:v>
      </x:c>
      <x:c r="H44" s="1" t="n">
        <x:f>ROUNDDOWN($D$21*1000/E44,0)</x:f>
        <x:v>35</x:v>
      </x:c>
      <x:c r="I44" s="1"/>
      <x:c r="J44" s="1"/>
    </x:row>
    <x:row r="45" ht="25" customHeight="1">
      <x:c r="C45" s="1" t="str">
        <x:v>2 scoops</x:v>
      </x:c>
      <x:c r="D45" s="1" t="n">
        <x:v>2</x:v>
      </x:c>
      <x:c r="E45" s="1" t="n">
        <x:f>D45*17</x:f>
        <x:v>34</x:v>
      </x:c>
      <x:c r="F45" s="14" t="n">
        <x:f>E45/1000*$D$25</x:f>
        <x:v>8.528711111111111</x:v>
      </x:c>
      <x:c r="G45" s="14" t="n">
        <x:f>F45+$D$23+$D$24</x:f>
        <x:v>11.878711111111112</x:v>
      </x:c>
      <x:c r="H45" s="1" t="n">
        <x:f>ROUNDDOWN($D$21*1000/E45,0)</x:f>
        <x:v>26</x:v>
      </x:c>
      <x:c r="I45" s="1"/>
      <x:c r="J45" s="1"/>
    </x:row>
    <x:row r="46" ht="25" customHeight="1"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C47" s="1"/>
      <x:c r="D47" s="1"/>
      <x:c r="E47" s="1"/>
      <x:c r="F47" s="1"/>
      <x:c r="G47" s="1"/>
      <x:c r="H47" s="1"/>
      <x:c r="I47" s="1"/>
      <x:c r="J47" s="1"/>
    </x:row>
    <x:row r="48" ht="28" customHeight="1">
      <x:c r="C48" s="33" t="str">
        <x:v>Cobertura de atendimento</x:v>
      </x:c>
      <x:c r="D48" s="33" t="str">
        <x:v>Valor</x:v>
      </x:c>
      <x:c r="E48" s="1"/>
      <x:c r="F48" s="1"/>
      <x:c r="G48" s="1"/>
      <x:c r="H48" s="1"/>
      <x:c r="I48" s="1"/>
      <x:c r="J48" s="1"/>
    </x:row>
    <x:row r="49" ht="25" customHeight="1"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C50" s="1" t="str">
        <x:v>Abertura</x:v>
      </x:c>
      <x:c r="D50" s="40" t="n">
        <x:v>6</x:v>
      </x:c>
      <x:c r="E50" s="1"/>
      <x:c r="F50" s="1"/>
      <x:c r="G50" s="1"/>
      <x:c r="H50" s="1"/>
      <x:c r="I50" s="1"/>
      <x:c r="J50" s="1"/>
    </x:row>
    <x:row r="51" ht="25" customHeight="1">
      <x:c r="C51" s="1" t="str">
        <x:v>Fechamento</x:v>
      </x:c>
      <x:c r="D51" s="40" t="n">
        <x:v>20</x:v>
      </x:c>
      <x:c r="E51" s="1"/>
      <x:c r="F51" s="1"/>
      <x:c r="G51" s="1"/>
      <x:c r="H51" s="1"/>
      <x:c r="I51" s="1"/>
      <x:c r="J51" s="1"/>
    </x:row>
    <x:row r="52" ht="25" customHeight="1">
      <x:c r="C52" s="1" t="str">
        <x:v>Horas de atendimento / dia</x:v>
      </x:c>
      <x:c r="D52" s="18" t="n">
        <x:f>D51-D50</x:f>
        <x:v>14</x:v>
      </x:c>
      <x:c r="E52" s="1"/>
      <x:c r="F52" s="1"/>
      <x:c r="G52" s="1"/>
      <x:c r="H52" s="1"/>
      <x:c r="I52" s="1"/>
      <x:c r="J52" s="1"/>
    </x:row>
    <x:row r="53" ht="25" customHeight="1">
      <x:c r="C53" s="1" t="str">
        <x:v>Dias por semana</x:v>
      </x:c>
      <x:c r="D53" s="40" t="n">
        <x:v>6</x:v>
      </x:c>
      <x:c r="E53" s="1"/>
      <x:c r="F53" s="1"/>
      <x:c r="G53" s="1"/>
      <x:c r="H53" s="1"/>
      <x:c r="I53" s="1"/>
      <x:c r="J53" s="1"/>
    </x:row>
    <x:row r="54" ht="25" customHeight="1">
      <x:c r="C54" s="1" t="str">
        <x:v>Preparação e fechamento / dia</x:v>
      </x:c>
      <x:c r="D54" s="40" t="n">
        <x:v>1</x:v>
      </x:c>
      <x:c r="E54" s="1"/>
      <x:c r="F54" s="1"/>
      <x:c r="G54" s="1"/>
      <x:c r="H54" s="1"/>
      <x:c r="I54" s="1"/>
      <x:c r="J54" s="1"/>
    </x:row>
    <x:row r="55" ht="25" customHeight="1">
      <x:c r="C55" s="1" t="str">
        <x:v>Reforço simultâneo em picos / semana</x:v>
      </x:c>
      <x:c r="D55" s="40" t="n">
        <x:v>12</x:v>
      </x:c>
      <x:c r="E55" s="1"/>
      <x:c r="F55" s="1"/>
      <x:c r="G55" s="1"/>
      <x:c r="H55" s="1"/>
      <x:c r="I55" s="1"/>
      <x:c r="J55" s="1"/>
    </x:row>
    <x:row r="56" ht="25" customHeight="1">
      <x:c r="C56" s="1" t="str">
        <x:v>Funcionário / horas semanais</x:v>
      </x:c>
      <x:c r="D56" s="40" t="n">
        <x:v>44</x:v>
      </x:c>
      <x:c r="E56" s="1"/>
      <x:c r="F56" s="1"/>
      <x:c r="G56" s="1"/>
      <x:c r="H56" s="1"/>
      <x:c r="I56" s="1"/>
      <x:c r="J56" s="1"/>
    </x:row>
    <x:row r="57" ht="25" customHeight="1">
      <x:c r="C57" s="1" t="str">
        <x:v>Sócio / horas semanais</x:v>
      </x:c>
      <x:c r="D57" s="40" t="n">
        <x:v>44</x:v>
      </x:c>
      <x:c r="E57" s="1"/>
      <x:c r="F57" s="1"/>
      <x:c r="G57" s="1"/>
      <x:c r="H57" s="1"/>
      <x:c r="I57" s="1"/>
      <x:c r="J57" s="1"/>
    </x:row>
    <x:row r="58" ht="25" customHeight="1">
      <x:c r="C58" s="1" t="str">
        <x:v>Horas semanais de apoio necessárias</x:v>
      </x:c>
      <x:c r="D58" s="18" t="n">
        <x:f>MAX(0,D61-SUM(D56:D57))</x:f>
        <x:v>14</x:v>
      </x:c>
      <x:c r="E58" s="1"/>
      <x:c r="F58" s="1"/>
      <x:c r="G58" s="1"/>
      <x:c r="H58" s="1"/>
      <x:c r="I58" s="1"/>
      <x:c r="J58" s="1"/>
    </x:row>
    <x:row r="59" ht="25" customHeight="1">
      <x:c r="C59" s="1" t="str">
        <x:v>Apoio / custo mensal estimado</x:v>
      </x:c>
      <x:c r="D59" s="41" t="n">
        <x:v>1200</x:v>
      </x:c>
      <x:c r="E59" s="1"/>
      <x:c r="F59" s="1"/>
      <x:c r="G59" s="1"/>
      <x:c r="H59" s="1"/>
      <x:c r="I59" s="1"/>
      <x:c r="J59" s="1"/>
    </x:row>
    <x:row r="60" ht="25" customHeight="1">
      <x:c r="C60" s="1" t="str">
        <x:v>Outras despesas mensais</x:v>
      </x:c>
      <x:c r="D60" s="41" t="n">
        <x:v>150</x:v>
      </x:c>
      <x:c r="E60" s="1"/>
      <x:c r="F60" s="1"/>
      <x:c r="G60" s="1"/>
      <x:c r="H60" s="1"/>
      <x:c r="I60" s="1"/>
      <x:c r="J60" s="1"/>
    </x:row>
    <x:row r="61" ht="25" customHeight="1">
      <x:c r="C61" s="1" t="str">
        <x:v>Total de horas de trabalho / semana</x:v>
      </x:c>
      <x:c r="D61" s="18" t="n">
        <x:f>(D52+D54)*D53+D55</x:f>
        <x:v>102</x:v>
      </x:c>
      <x:c r="E61" s="1"/>
      <x:c r="F61" s="1"/>
      <x:c r="G61" s="1"/>
      <x:c r="H61" s="1"/>
      <x:c r="I61" s="1"/>
      <x:c r="J61" s="1"/>
    </x:row>
    <x:row r="62" ht="25" customHeight="1"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C63" s="1" t="str">
        <x:v>Cenário: sócio + 1 funcionário + apoio. Horas não são escala trabalhista pronta.</x:v>
      </x:c>
      <x:c r="D63" s="1"/>
      <x:c r="E63" s="1"/>
      <x:c r="F63" s="1"/>
      <x:c r="G63" s="1"/>
      <x:c r="H63" s="1"/>
      <x:c r="I63" s="1"/>
      <x:c r="J63" s="1"/>
    </x:row>
    <x:row r="64" ht="25" customHeight="1">
      <x:c r="C64" s="1"/>
      <x:c r="D64" s="1"/>
      <x:c r="E64" s="1"/>
      <x:c r="F64" s="1"/>
      <x:c r="G64" s="1"/>
      <x:c r="H64" s="1"/>
      <x:c r="I64" s="1"/>
      <x:c r="J64" s="1"/>
    </x:row>
    <x:row r="65" ht="25" customHeight="1">
      <x:c r="C65" s="1" t="str">
        <x:v>Intervalos, folgas, férias e convenção coletiva devem compor a escala e a cotação da folha.</x:v>
      </x:c>
      <x:c r="D65" s="1"/>
      <x:c r="E65" s="1"/>
      <x:c r="F65" s="1"/>
      <x:c r="G65" s="1"/>
      <x:c r="H65" s="1"/>
      <x:c r="I65" s="1"/>
      <x:c r="J65" s="1"/>
    </x:row>
    <x:row r="66" ht="25" customHeight="1">
      <x:c r="C66" s="1"/>
      <x:c r="D66" s="1"/>
      <x:c r="E66" s="1"/>
      <x:c r="F66" s="1"/>
      <x:c r="G66" s="1"/>
      <x:c r="H66" s="1"/>
      <x:c r="I66" s="1"/>
      <x:c r="J66" s="1"/>
    </x:row>
    <x:row r="67" ht="25" customHeight="1">
      <x:c r="C67" s="1"/>
      <x:c r="D67" s="1"/>
      <x:c r="E67" s="1"/>
      <x:c r="F67" s="1"/>
      <x:c r="G67" s="1"/>
      <x:c r="H67" s="1"/>
      <x:c r="I67" s="1"/>
      <x:c r="J67" s="1"/>
    </x:row>
    <x:row r="68" ht="28" customHeight="1">
      <x:c r="C68" s="33" t="str">
        <x:v>Fontes e premissas</x:v>
      </x:c>
      <x:c r="D68" s="33"/>
      <x:c r="E68" s="33"/>
      <x:c r="F68" s="33"/>
      <x:c r="G68" s="33"/>
      <x:c r="H68" s="33"/>
      <x:c r="I68" s="33"/>
      <x:c r="J68" s="33"/>
    </x:row>
    <x:row r="69" ht="25" customHeight="1">
      <x:c r="C69" s="1"/>
      <x:c r="D69" s="1"/>
      <x:c r="E69" s="1"/>
      <x:c r="F69" s="1"/>
      <x:c r="G69" s="1"/>
      <x:c r="H69" s="1"/>
      <x:c r="I69" s="1"/>
      <x:c r="J69" s="1"/>
    </x:row>
    <x:row r="70" ht="25" customHeight="1">
      <x:c r="C70" s="1" t="str">
        <x:v>Drogasil: Tasty Whey Original 900 g, R$ 225,76, consulta 07/10/2026.</x:v>
      </x:c>
      <x:c r="D70" s="1"/>
      <x:c r="E70" s="1"/>
      <x:c r="F70" s="1"/>
      <x:c r="G70" s="1"/>
      <x:c r="H70" s="1"/>
      <x:c r="I70" s="1"/>
      <x:c r="J70" s="1"/>
    </x:row>
    <x:row r="71" ht="25" customHeight="1">
      <x:c r="C71" s="1" t="str">
        <x:v>https://www.drogasil.com.br/adaptogen-tasty-whey-original-900g-1342344.html</x:v>
      </x:c>
      <x:c r="D71" s="1"/>
      <x:c r="E71" s="1"/>
      <x:c r="F71" s="1"/>
      <x:c r="G71" s="1"/>
      <x:c r="H71" s="1"/>
      <x:c r="I71" s="1"/>
      <x:c r="J71" s="1"/>
    </x:row>
    <x:row r="72" ht="25" customHeight="1">
      <x:c r="C72" s="1"/>
      <x:c r="D72" s="1"/>
      <x:c r="E72" s="1"/>
      <x:c r="F72" s="1"/>
      <x:c r="G72" s="1"/>
      <x:c r="H72" s="1"/>
      <x:c r="I72" s="1"/>
      <x:c r="J72" s="1"/>
    </x:row>
    <x:row r="73" ht="25" customHeight="1">
      <x:c r="C73" s="1" t="str">
        <x:v>Me Encanta: tabela enviada pelo usuário, sorvete 10 litros / 6,5 kg por R$ 170. Sem cotação nova.</x:v>
      </x:c>
      <x:c r="D73" s="1"/>
      <x:c r="E73" s="1"/>
      <x:c r="F73" s="1"/>
      <x:c r="G73" s="1"/>
      <x:c r="H73" s="1"/>
      <x:c r="I73" s="1"/>
      <x:c r="J73" s="1"/>
    </x:row>
    <x:row r="74" ht="25" customHeight="1">
      <x:c r="C74" s="1"/>
      <x:c r="D74" s="1"/>
      <x:c r="E74" s="1"/>
      <x:c r="F74" s="1"/>
      <x:c r="G74" s="1"/>
      <x:c r="H74" s="1"/>
      <x:c r="I74" s="1"/>
      <x:c r="J74" s="1"/>
    </x:row>
    <x:row r="75" ht="25" customHeight="1">
      <x:c r="C75" s="1" t="str">
        <x:v>Demais insumos, embalagens, pessoal e demanda são hipóteses editáveis, não cotações.</x:v>
      </x:c>
      <x:c r="D75" s="1"/>
      <x:c r="E75" s="1"/>
      <x:c r="F75" s="1"/>
      <x:c r="G75" s="1"/>
      <x:c r="H75" s="1"/>
      <x:c r="I75" s="1"/>
      <x:c r="J75" s="1"/>
    </x:row>
    <x:row r="76" ht="25" customHeight="1">
      <x:c r="C76" s="1"/>
      <x:c r="D76" s="1"/>
      <x:c r="E76" s="1"/>
      <x:c r="F76" s="1"/>
      <x:c r="G76" s="1"/>
      <x:c r="H76" s="1"/>
      <x:c r="I76" s="1"/>
      <x:c r="J76" s="1"/>
    </x:row>
    <x:row r="77" ht="25" customHeight="1">
      <x:c r="C77" s="1" t="str">
        <x:v>Referência de jornada: https://portalfat.trabalho.gov.br/programas-e-acoes-2/caged-3/perguntas-frequentes/jornada-de-trabalho/</x:v>
      </x:c>
      <x:c r="D77" s="1"/>
      <x:c r="E77" s="1"/>
      <x:c r="F77" s="1"/>
      <x:c r="G77" s="1"/>
      <x:c r="H77" s="1"/>
      <x:c r="I77" s="1"/>
      <x:c r="J77" s="1"/>
    </x:row>
    <x:row r="78" ht="25" customHeight="1">
      <x:c r="C78" s="1"/>
      <x:c r="D78" s="1"/>
      <x:c r="E78" s="1"/>
      <x:c r="F78" s="1"/>
      <x:c r="G78" s="1"/>
      <x:c r="H78" s="1"/>
      <x:c r="I78" s="1"/>
      <x:c r="J78" s="1"/>
    </x:row>
    <x:row r="79" ht="25" customHeight="1">
      <x:c r="C79" s="1" t="str">
        <x:v>Sobremesa comum de sorvete e frutas. Não atribuir conteúdo proteico de um whey não incluído.</x:v>
      </x:c>
      <x:c r="D79" s="1"/>
      <x:c r="E79" s="1"/>
      <x:c r="F79" s="1"/>
      <x:c r="G79" s="1"/>
      <x:c r="H79" s="1"/>
      <x:c r="I79" s="1"/>
      <x:c r="J79" s="1"/>
    </x:row>
    <x:row r="80" ht="25" customHeight="1">
      <x:c r="C80" s="1"/>
      <x:c r="D80" s="1"/>
      <x:c r="E80" s="1"/>
      <x:c r="F80" s="1"/>
      <x:c r="G80" s="1"/>
      <x:c r="H80" s="1"/>
      <x:c r="I80" s="1"/>
      <x:c r="J80" s="1"/>
    </x:row>
    <x:row r="81" ht="25" customHeight="1">
      <x:c r="C81" s="1" t="str">
        <x:v>Produto a testar: 150 g sorvete + 50 g frutas vermelhas + 10 g granola. Capacidade do pote a validar.</x:v>
      </x:c>
      <x:c r="D81" s="1"/>
      <x:c r="E81" s="1"/>
      <x:c r="F81" s="1"/>
      <x:c r="G81" s="1"/>
      <x:c r="H81" s="1"/>
      <x:c r="I81" s="1"/>
      <x:c r="J81" s="1"/>
    </x:row>
    <x:row r="82" ht="25" customHeight="1">
      <x:c r="C82" s="1"/>
      <x:c r="D82" s="1"/>
      <x:c r="E82" s="1"/>
      <x:c r="F82" s="1"/>
      <x:c r="G82" s="1"/>
      <x:c r="H82" s="1"/>
      <x:c r="I82" s="1"/>
      <x:c r="J82" s="1"/>
    </x:row>
    <x:row r="83" ht="25" customHeight="1">
      <x:c r="C83" s="1"/>
      <x:c r="D83" s="1"/>
      <x:c r="E83" s="1"/>
      <x:c r="F83" s="1"/>
      <x:c r="G83" s="1"/>
      <x:c r="H83" s="1"/>
      <x:c r="I83" s="1"/>
      <x:c r="J83" s="1"/>
    </x:row>
    <x:row r="84" ht="28" customHeight="1">
      <x:c r="C84" s="33" t="str">
        <x:v>iFood / Plano Entrega</x:v>
      </x:c>
      <x:c r="D84" s="33" t="str">
        <x:v>Premissa</x:v>
      </x:c>
      <x:c r="E84" s="1"/>
      <x:c r="F84" s="1"/>
      <x:c r="G84" s="1"/>
      <x:c r="H84" s="1"/>
      <x:c r="I84" s="1"/>
      <x:c r="J84" s="1"/>
    </x:row>
    <x:row r="85" ht="25" customHeight="1">
      <x:c r="C85" s="1"/>
      <x:c r="D85" s="1"/>
      <x:c r="E85" s="1"/>
      <x:c r="F85" s="1"/>
      <x:c r="G85" s="1"/>
      <x:c r="H85" s="1"/>
      <x:c r="I85" s="1"/>
      <x:c r="J85" s="1"/>
    </x:row>
    <x:row r="86" ht="25" customHeight="1">
      <x:c r="C86" s="1" t="str">
        <x:v>Participação iFood nos pedidos</x:v>
      </x:c>
      <x:c r="D86" s="42" t="n">
        <x:v>0.2</x:v>
      </x:c>
      <x:c r="E86" s="1"/>
      <x:c r="F86" s="1"/>
      <x:c r="G86" s="1"/>
      <x:c r="H86" s="1"/>
      <x:c r="I86" s="1"/>
      <x:c r="J86" s="1" t="str">
        <x:v>Hipótese: 80% balcão e 20% iFood</x:v>
      </x:c>
    </x:row>
    <x:row r="87" ht="25" customHeight="1">
      <x:c r="C87" s="1" t="str">
        <x:v>Preço iFood / preço balcão</x:v>
      </x:c>
      <x:c r="D87" s="43" t="n">
        <x:v>1.2</x:v>
      </x:c>
      <x:c r="E87" s="1"/>
      <x:c r="F87" s="1"/>
      <x:c r="G87" s="1"/>
      <x:c r="H87" s="1"/>
      <x:c r="I87" s="1"/>
      <x:c r="J87" s="1" t="str">
        <x:v>Hipótese comercial, testar aceitação</x:v>
      </x:c>
    </x:row>
    <x:row r="88" ht="25" customHeight="1">
      <x:c r="C88" s="1" t="str">
        <x:v>Comissão iFood</x:v>
      </x:c>
      <x:c r="D88" s="42" t="n">
        <x:v>0.23</x:v>
      </x:c>
      <x:c r="E88" s="1"/>
      <x:c r="F88" s="1"/>
      <x:c r="G88" s="1"/>
      <x:c r="H88" s="1"/>
      <x:c r="I88" s="1"/>
      <x:c r="J88" s="1" t="str">
        <x:v>Referência pública do Plano Entrega</x:v>
      </x:c>
    </x:row>
    <x:row r="89" ht="25" customHeight="1">
      <x:c r="C89" s="1" t="str">
        <x:v>Pagamento via iFood</x:v>
      </x:c>
      <x:c r="D89" s="42" t="n">
        <x:v>0.035</x:v>
      </x:c>
      <x:c r="E89" s="1"/>
      <x:c r="F89" s="1"/>
      <x:c r="G89" s="1"/>
      <x:c r="H89" s="1"/>
      <x:c r="I89" s="1"/>
      <x:c r="J89" s="1" t="str">
        <x:v>Referência pública: 3,5%; confirmar contrato</x:v>
      </x:c>
    </x:row>
    <x:row r="90" ht="25" customHeight="1">
      <x:c r="C90" s="1" t="str">
        <x:v>Mensalidade iFood</x:v>
      </x:c>
      <x:c r="D90" s="37" t="n">
        <x:v>150</x:v>
      </x:c>
      <x:c r="E90" s="1"/>
      <x:c r="F90" s="1"/>
      <x:c r="G90" s="1"/>
      <x:c r="H90" s="1"/>
      <x:c r="I90" s="1"/>
      <x:c r="J90" s="1" t="str">
        <x:v>Quando vendas mensais no canal superam R$ 1.800</x:v>
      </x:c>
    </x:row>
    <x:row r="91" ht="25" customHeight="1">
      <x:c r="C91" s="1" t="str">
        <x:v>Gatilho de mensalidade</x:v>
      </x:c>
      <x:c r="D91" s="37" t="n">
        <x:v>1800</x:v>
      </x:c>
      <x:c r="E91" s="1"/>
      <x:c r="F91" s="1"/>
      <x:c r="G91" s="1"/>
      <x:c r="H91" s="1"/>
      <x:c r="I91" s="1"/>
      <x:c r="J91" s="1" t="str">
        <x:v>R$/mês</x:v>
      </x:c>
    </x:row>
    <x:row r="92" ht="25" customHeight="1">
      <x:c r="C92" s="1" t="str">
        <x:v>Embalagem adicional / pedido iFood</x:v>
      </x:c>
      <x:c r="D92" s="37" t="n">
        <x:v>1.5</x:v>
      </x:c>
      <x:c r="E92" s="1"/>
      <x:c r="F92" s="1"/>
      <x:c r="G92" s="1"/>
      <x:c r="H92" s="1"/>
      <x:c r="I92" s="1"/>
      <x:c r="J92" s="1" t="str">
        <x:v>Lacre, transporte e proteção, hipótese a cotar</x:v>
      </x:c>
    </x:row>
    <x:row r="93" ht="25" customHeight="1">
      <x:c r="C93" s="1" t="str">
        <x:v>Prazo médio iFood</x:v>
      </x:c>
      <x:c r="D93" s="36" t="n">
        <x:v>30</x:v>
      </x:c>
      <x:c r="E93" s="1"/>
      <x:c r="F93" s="1"/>
      <x:c r="G93" s="1"/>
      <x:c r="H93" s="1"/>
      <x:c r="I93" s="1"/>
      <x:c r="J93" s="1" t="str">
        <x:v>Dias, hipótese prudente; confirmar plano de repasse</x:v>
      </x:c>
    </x:row>
    <x:row r="94" ht="25" customHeight="1">
      <x:c r="C94" s="1" t="str">
        <x:v>Promoções custeadas pela loja</x:v>
      </x:c>
      <x:c r="D94" s="42" t="n">
        <x:v>0</x:v>
      </x:c>
      <x:c r="E94" s="1"/>
      <x:c r="F94" s="1"/>
      <x:c r="G94" s="1"/>
      <x:c r="H94" s="1"/>
      <x:c r="I94" s="1"/>
      <x:c r="J94" s="1" t="str">
        <x:v>Percentual da venda iFood; cenário sem promoção paga</x:v>
      </x:c>
    </x:row>
    <x:row r="95" ht="25" customHeight="1">
      <x:c r="C95" s="1" t="str">
        <x:v>Frete subsidiado / pedido</x:v>
      </x:c>
      <x:c r="D95" s="37" t="n">
        <x:v>0</x:v>
      </x:c>
      <x:c r="E95" s="1"/>
      <x:c r="F95" s="1"/>
      <x:c r="G95" s="1"/>
      <x:c r="H95" s="1"/>
      <x:c r="I95" s="1"/>
      <x:c r="J95" s="1" t="str">
        <x:v>R$; sem subsídio ou motoboy próprio no Plano Entrega</x:v>
      </x:c>
    </x:row>
    <x:row r="96" ht="25" customHeight="1">
      <x:c r="C96" s="1" t="str">
        <x:v>Mês de início do iFood</x:v>
      </x:c>
      <x:c r="D96" s="36" t="n">
        <x:v>4</x:v>
      </x:c>
      <x:c r="E96" s="1"/>
      <x:c r="F96" s="1"/>
      <x:c r="G96" s="1"/>
      <x:c r="H96" s="1"/>
      <x:c r="I96" s="1"/>
      <x:c r="J96" s="1" t="str">
        <x:v>Proposta faseada: mês 4. Alterar para 1 para simular abertura com aplicativo.</x:v>
      </x:c>
    </x:row>
    <x:row r="97" ht="25" customHeight="1">
      <x:c r="C97" s="1" t="str">
        <x:v>Fonte: https://parceiros.ifood.com.br/restaurante/como-funciona/entregas</x:v>
      </x:c>
      <x:c r="D97" s="1"/>
      <x:c r="E97" s="1"/>
      <x:c r="F97" s="1"/>
      <x:c r="G97" s="1"/>
      <x:c r="H97" s="1"/>
      <x:c r="I97" s="1"/>
      <x:c r="J97" s="1"/>
    </x:row>
    <x:row r="98" ht="25" customHeight="1">
      <x:c r="C98" s="1" t="str">
        <x:v>Consulta 07/10/2026. Confirmar condições, cobertura no endereço e prazo real antes da adesão.</x:v>
      </x:c>
      <x:c r="D98" s="1"/>
      <x:c r="E98" s="1"/>
      <x:c r="F98" s="1"/>
      <x:c r="G98" s="1"/>
      <x:c r="H98" s="1"/>
      <x:c r="I98" s="1"/>
      <x:c r="J98" s="1"/>
    </x:row>
    <x:row r="99" ht="25" customHeight="1">
      <x:c r="C99" s="1"/>
      <x:c r="D99" s="1"/>
      <x:c r="E99" s="1"/>
      <x:c r="F99" s="1"/>
      <x:c r="G99" s="1"/>
      <x:c r="H99" s="1"/>
      <x:c r="I99" s="1"/>
      <x:c r="J99" s="1"/>
    </x:row>
    <x:row r="100" ht="28" customHeight="1">
      <x:c r="C100" s="33" t="str">
        <x:v>Bebidas preparadas com café solúvel</x:v>
      </x:c>
      <x:c r="D100" s="33" t="str">
        <x:v>Premissa</x:v>
      </x:c>
      <x:c r="E100" s="1"/>
      <x:c r="F100" s="1"/>
      <x:c r="G100" s="1"/>
      <x:c r="H100" s="1"/>
      <x:c r="I100" s="1"/>
      <x:c r="J100" s="1"/>
    </x:row>
    <x:row r="101" ht="25" customHeight="1">
      <x:c r="C101" s="1"/>
      <x:c r="D101" s="1"/>
      <x:c r="E101" s="1"/>
      <x:c r="F101" s="1"/>
      <x:c r="G101" s="1"/>
      <x:c r="H101" s="1"/>
      <x:c r="I101" s="1"/>
      <x:c r="J101" s="1"/>
    </x:row>
    <x:row r="102" ht="25" customHeight="1">
      <x:c r="C102" s="1" t="str">
        <x:v>Café solúvel / bebida</x:v>
      </x:c>
      <x:c r="D102" s="39" t="n">
        <x:v>0.003</x:v>
      </x:c>
      <x:c r="E102" s="1"/>
      <x:c r="F102" s="1"/>
      <x:c r="G102" s="1"/>
      <x:c r="H102" s="1"/>
      <x:c r="I102" s="1"/>
      <x:c r="J102" s="1" t="str">
        <x:v>kg; dosagem inicial para teste</x:v>
      </x:c>
    </x:row>
    <x:row r="103" ht="25" customHeight="1">
      <x:c r="C103" s="1" t="str">
        <x:v>Café solúvel</x:v>
      </x:c>
      <x:c r="D103" s="37" t="n">
        <x:v>180</x:v>
      </x:c>
      <x:c r="E103" s="1"/>
      <x:c r="F103" s="1"/>
      <x:c r="G103" s="1"/>
      <x:c r="H103" s="1"/>
      <x:c r="I103" s="1"/>
      <x:c r="J103" s="1" t="str">
        <x:v>R$/kg, hipótese sem cotação</x:v>
      </x:c>
    </x:row>
    <x:row r="104" ht="25" customHeight="1">
      <x:c r="C104" s="1" t="str">
        <x:v>Leite / bebida</x:v>
      </x:c>
      <x:c r="D104" s="39" t="n">
        <x:v>0.2</x:v>
      </x:c>
      <x:c r="E104" s="1"/>
      <x:c r="F104" s="1"/>
      <x:c r="G104" s="1"/>
      <x:c r="H104" s="1"/>
      <x:c r="I104" s="1"/>
      <x:c r="J104" s="1" t="str">
        <x:v>litro</x:v>
      </x:c>
    </x:row>
    <x:row r="105" ht="25" customHeight="1">
      <x:c r="C105" s="1" t="str">
        <x:v>Preço do leite</x:v>
      </x:c>
      <x:c r="D105" s="37" t="n">
        <x:v>6</x:v>
      </x:c>
      <x:c r="E105" s="1"/>
      <x:c r="F105" s="1"/>
      <x:c r="G105" s="1"/>
      <x:c r="H105" s="1"/>
      <x:c r="I105" s="1"/>
      <x:c r="J105" s="1" t="str">
        <x:v>R$/litro, hipótese</x:v>
      </x:c>
    </x:row>
    <x:row r="106" ht="25" customHeight="1">
      <x:c r="C106" s="1" t="str">
        <x:v>Cacau / bebida quente</x:v>
      </x:c>
      <x:c r="D106" s="39" t="n">
        <x:v>0.005</x:v>
      </x:c>
      <x:c r="E106" s="1"/>
      <x:c r="F106" s="1"/>
      <x:c r="G106" s="1"/>
      <x:c r="H106" s="1"/>
      <x:c r="I106" s="1"/>
      <x:c r="J106" s="1" t="str">
        <x:v>kg</x:v>
      </x:c>
    </x:row>
    <x:row r="107" ht="25" customHeight="1">
      <x:c r="C107" s="1" t="str">
        <x:v>Preço do cacau</x:v>
      </x:c>
      <x:c r="D107" s="37" t="n">
        <x:v>60</x:v>
      </x:c>
      <x:c r="E107" s="1"/>
      <x:c r="F107" s="1"/>
      <x:c r="G107" s="1"/>
      <x:c r="H107" s="1"/>
      <x:c r="I107" s="1"/>
      <x:c r="J107" s="1" t="str">
        <x:v>R$/kg, hipótese</x:v>
      </x:c>
    </x:row>
    <x:row r="108" ht="25" customHeight="1">
      <x:c r="C108" s="1" t="str">
        <x:v>Complemento / bebida quente</x:v>
      </x:c>
      <x:c r="D108" s="37" t="n">
        <x:v>0.4</x:v>
      </x:c>
      <x:c r="E108" s="1"/>
      <x:c r="F108" s="1"/>
      <x:c r="G108" s="1"/>
      <x:c r="H108" s="1"/>
      <x:c r="I108" s="1"/>
      <x:c r="J108" s="1" t="str">
        <x:v>R$/un, sabor e adoçante a testar</x:v>
      </x:c>
    </x:row>
    <x:row r="109" ht="25" customHeight="1">
      <x:c r="C109" s="1" t="str">
        <x:v>Copo e tampa / bebida quente</x:v>
      </x:c>
      <x:c r="D109" s="37" t="n">
        <x:v>1.1</x:v>
      </x:c>
      <x:c r="E109" s="1"/>
      <x:c r="F109" s="1"/>
      <x:c r="G109" s="1"/>
      <x:c r="H109" s="1"/>
      <x:c r="I109" s="1"/>
      <x:c r="J109" s="1" t="str">
        <x:v>R$/un</x:v>
      </x:c>
    </x:row>
    <x:row r="110" ht="25" customHeight="1">
      <x:c r="C110" s="1" t="str">
        <x:v>Preço / café cremoso quente</x:v>
      </x:c>
      <x:c r="D110" s="37" t="n">
        <x:v>18</x:v>
      </x:c>
      <x:c r="E110" s="1"/>
      <x:c r="F110" s="1"/>
      <x:c r="G110" s="1"/>
      <x:c r="H110" s="1"/>
      <x:c r="I110" s="1"/>
      <x:c r="J110" s="1" t="str">
        <x:v>R$/un, teste</x:v>
      </x:c>
    </x:row>
    <x:row r="111" ht="25" customHeight="1">
      <x:c r="C111" s="1" t="str">
        <x:v>Preço / frappé de café com whey</x:v>
      </x:c>
      <x:c r="D111" s="37" t="n">
        <x:v>29</x:v>
      </x:c>
      <x:c r="E111" s="1"/>
      <x:c r="F111" s="1"/>
      <x:c r="G111" s="1"/>
      <x:c r="H111" s="1"/>
      <x:c r="I111" s="1"/>
      <x:c r="J111" s="1" t="str">
        <x:v>R$/un, teste</x:v>
      </x:c>
    </x:row>
    <x:row r="112" ht="25" customHeight="1">
      <x:c r="C112" s="1" t="str">
        <x:v>Participação do quente nos cafés</x:v>
      </x:c>
      <x:c r="D112" s="44" t="n">
        <x:v>0.5</x:v>
      </x:c>
      <x:c r="E112" s="1"/>
      <x:c r="F112" s="1"/>
      <x:c r="G112" s="1"/>
      <x:c r="H112" s="1"/>
      <x:c r="I112" s="1"/>
      <x:c r="J112" s="1" t="str">
        <x:v>50% quente e 50% frappé</x:v>
      </x:c>
    </x:row>
    <x:row r="113" ht="25" customHeight="1">
      <x:c r="C113" s="1" t="str">
        <x:v>Preço médio das bebidas com café</x:v>
      </x:c>
      <x:c r="D113" s="14" t="n">
        <x:f>D110*D112+D111*(1-D112)</x:f>
        <x:v>23.5</x:v>
      </x:c>
      <x:c r="E113" s="1"/>
      <x:c r="F113" s="1"/>
      <x:c r="G113" s="1"/>
      <x:c r="H113" s="1"/>
      <x:c r="I113" s="1"/>
      <x:c r="J113" s="1"/>
    </x:row>
    <x:row r="114" ht="25" customHeight="1">
      <x:c r="C114" s="1" t="str">
        <x:v>Custo médio das bebidas com café</x:v>
      </x:c>
      <x:c r="D114" s="14" t="n">
        <x:f>D115*D112+D116*(1-D112)</x:f>
        <x:v>5.647177777777777</x:v>
      </x:c>
      <x:c r="E114" s="1"/>
      <x:c r="F114" s="1"/>
      <x:c r="G114" s="1"/>
      <x:c r="H114" s="1"/>
      <x:c r="I114" s="1"/>
      <x:c r="J114" s="1"/>
    </x:row>
    <x:row r="115" ht="25" customHeight="1">
      <x:c r="C115" s="1" t="str">
        <x:v>Custo / café cremoso quente</x:v>
      </x:c>
      <x:c r="D115" s="14" t="n">
        <x:f>D102*D103+D104*D105+D106*D107+D108+D109</x:f>
        <x:v>3.54</x:v>
      </x:c>
      <x:c r="E115" s="1"/>
      <x:c r="F115" s="1"/>
      <x:c r="G115" s="1"/>
      <x:c r="H115" s="1"/>
      <x:c r="I115" s="1"/>
      <x:c r="J115" s="1"/>
    </x:row>
    <x:row r="116" ht="25" customHeight="1">
      <x:c r="C116" s="1" t="str">
        <x:v>Custo / frappé de café com whey</x:v>
      </x:c>
      <x:c r="D116" s="14" t="n">
        <x:f>D102*D103+D104*D105+D117*D25+D118+D119</x:f>
        <x:v>7.754355555555556</x:v>
      </x:c>
      <x:c r="E116" s="1"/>
      <x:c r="F116" s="1"/>
      <x:c r="G116" s="1"/>
      <x:c r="H116" s="1"/>
      <x:c r="I116" s="1"/>
      <x:c r="J116" s="1"/>
    </x:row>
    <x:row r="117" ht="25" customHeight="1">
      <x:c r="C117" s="1" t="str">
        <x:v>Whey / frappé de café</x:v>
      </x:c>
      <x:c r="D117" s="39" t="n">
        <x:v>0.017</x:v>
      </x:c>
      <x:c r="E117" s="1"/>
      <x:c r="F117" s="1"/>
      <x:c r="G117" s="1"/>
      <x:c r="H117" s="1"/>
      <x:c r="I117" s="1"/>
      <x:c r="J117" s="1" t="str">
        <x:v>kg, 1 scoop da referência consultada</x:v>
      </x:c>
    </x:row>
    <x:row r="118" ht="25" customHeight="1">
      <x:c r="C118" s="1" t="str">
        <x:v>Gelo e complemento / frappé</x:v>
      </x:c>
      <x:c r="D118" s="37" t="n">
        <x:v>0.7</x:v>
      </x:c>
      <x:c r="E118" s="1"/>
      <x:c r="F118" s="1"/>
      <x:c r="G118" s="1"/>
      <x:c r="H118" s="1"/>
      <x:c r="I118" s="1"/>
      <x:c r="J118" s="1" t="str">
        <x:v>R$/un, hipótese</x:v>
      </x:c>
    </x:row>
    <x:row r="119" ht="25" customHeight="1">
      <x:c r="C119" s="1" t="str">
        <x:v>Copo e tampa / frappé</x:v>
      </x:c>
      <x:c r="D119" s="37" t="n">
        <x:v>1.05</x:v>
      </x:c>
      <x:c r="E119" s="1"/>
      <x:c r="F119" s="1"/>
      <x:c r="G119" s="1"/>
      <x:c r="H119" s="1"/>
      <x:c r="I119" s="1"/>
      <x:c r="J119" s="1" t="str">
        <x:v>R$/un, hipótese</x:v>
      </x:c>
    </x:row>
    <x:row r="120" ht="25" customHeight="1">
      <x:c r="C120" s="1" t="str">
        <x:v>Na fase sem aplicativo, o volume em rampa depende só do balcão. Não substitui medição de procura.</x:v>
      </x:c>
      <x:c r="D120" s="1"/>
      <x:c r="E120" s="1"/>
      <x:c r="F120" s="1"/>
      <x:c r="G120" s="1"/>
      <x:c r="H120" s="1"/>
      <x:c r="I120" s="1"/>
      <x:c r="J120" s="1"/>
    </x:row>
    <x:row r="121" ht="25" customHeight="1">
      <x:c r="C121" s="1"/>
      <x:c r="D121" s="1"/>
      <x:c r="E121" s="1"/>
      <x:c r="F121" s="1"/>
      <x:c r="G121" s="1"/>
      <x:c r="H121" s="1"/>
      <x:c r="I121" s="1"/>
      <x:c r="J121" s="1"/>
    </x:row>
    <x:row r="122" ht="25" customHeight="1">
      <x:c r="C122" s="1" t="str">
        <x:v>Bebidas elaboradas: quente com leite e cacau; frappé gelado com leite e whey. Sem espresso.</x:v>
      </x:c>
      <x:c r="D122" s="1"/>
      <x:c r="E122" s="1"/>
      <x:c r="F122" s="1"/>
      <x:c r="G122" s="1"/>
      <x:c r="H122" s="1"/>
      <x:c r="I122" s="1"/>
      <x:c r="J122" s="1"/>
    </x:row>
    <x:row r="124">
      <x:c r="C124" t="str">
        <x:v>Ajustar solúvel, leite, gelo e doçura em teste de bancada. Não declarar teor de cafeína sem ficha.</x:v>
      </x:c>
    </x:row>
    <x:row r="126">
      <x:c r="C126" t="str">
        <x:v>Whey é ingrediente do frappé; teor final de proteína e volume da bebida exigem padronização.</x:v>
      </x:c>
    </x:row>
  </x:sheetData>
  <x:pageMargins left="0.7" right="0.7" top="0.75" bottom="0.75" header="0.3" footer="0.3"/>
</x:worksheet>
</file>